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360" windowHeight="7356" tabRatio="768" activeTab="5"/>
  </bookViews>
  <sheets>
    <sheet name="Last update" sheetId="14" r:id="rId1"/>
    <sheet name="2nd MBBS Summary" sheetId="9" r:id="rId2"/>
    <sheet name="3rd MBBS (Part I) Summary" sheetId="10" r:id="rId3"/>
    <sheet name=" 3rd MBBS (Part II) Summary" sheetId="11" r:id="rId4"/>
    <sheet name=" Final MBBS Summary" sheetId="12" r:id="rId5"/>
    <sheet name="2022" sheetId="16" r:id="rId6"/>
    <sheet name="2021" sheetId="13" r:id="rId7"/>
    <sheet name="2020" sheetId="2" r:id="rId8"/>
    <sheet name="2019" sheetId="3" r:id="rId9"/>
    <sheet name="2018" sheetId="4" r:id="rId10"/>
    <sheet name="2017" sheetId="5" r:id="rId11"/>
    <sheet name="2016" sheetId="6" r:id="rId12"/>
  </sheets>
  <calcPr calcId="144525"/>
</workbook>
</file>

<file path=xl/calcChain.xml><?xml version="1.0" encoding="utf-8"?>
<calcChain xmlns="http://schemas.openxmlformats.org/spreadsheetml/2006/main">
  <c r="C60" i="9" l="1"/>
  <c r="B60" i="9"/>
  <c r="C50" i="9"/>
  <c r="B50" i="9"/>
  <c r="C39" i="9"/>
  <c r="B39" i="9"/>
  <c r="C29" i="9"/>
  <c r="B29" i="9"/>
  <c r="C18" i="9"/>
  <c r="B18" i="9"/>
  <c r="C8" i="9"/>
  <c r="B8" i="9"/>
  <c r="C98" i="12"/>
  <c r="B98" i="12"/>
  <c r="C78" i="12"/>
  <c r="B78" i="12"/>
  <c r="C58" i="12"/>
  <c r="B58" i="12"/>
  <c r="C38" i="12"/>
  <c r="B38" i="12"/>
  <c r="C18" i="12"/>
  <c r="B18" i="12"/>
  <c r="C88" i="12"/>
  <c r="B88" i="12"/>
  <c r="C68" i="12"/>
  <c r="B68" i="12"/>
  <c r="C48" i="12"/>
  <c r="B48" i="12"/>
  <c r="C28" i="12"/>
  <c r="B28" i="12"/>
  <c r="C8" i="12"/>
  <c r="B8" i="12"/>
  <c r="C85" i="11"/>
  <c r="B85" i="11"/>
  <c r="C74" i="11"/>
  <c r="B74" i="11"/>
  <c r="C63" i="11"/>
  <c r="B63" i="11"/>
  <c r="C52" i="11"/>
  <c r="B52" i="11"/>
  <c r="B47" i="11"/>
  <c r="C79" i="12" l="1"/>
  <c r="B79" i="12"/>
  <c r="C41" i="11"/>
  <c r="B41" i="11"/>
  <c r="C30" i="11"/>
  <c r="B30" i="11"/>
  <c r="C19" i="11"/>
  <c r="B19" i="11"/>
  <c r="C8" i="11"/>
  <c r="B8" i="11"/>
  <c r="C38" i="10"/>
  <c r="B38" i="10"/>
  <c r="C28" i="10"/>
  <c r="B28" i="10"/>
  <c r="C18" i="10"/>
  <c r="B18" i="10"/>
  <c r="C8" i="10"/>
  <c r="B8" i="10"/>
  <c r="C27" i="9"/>
  <c r="B27" i="9"/>
  <c r="C33" i="10"/>
  <c r="B33" i="10"/>
  <c r="C83" i="11"/>
  <c r="B83" i="11"/>
  <c r="C69" i="11"/>
  <c r="B69" i="11"/>
  <c r="C39" i="11"/>
  <c r="B39" i="11"/>
  <c r="C17" i="11"/>
  <c r="B17" i="11"/>
  <c r="C43" i="12"/>
  <c r="B43" i="12"/>
  <c r="C95" i="12"/>
  <c r="B95" i="12"/>
  <c r="C94" i="12"/>
  <c r="B94" i="12"/>
  <c r="C75" i="12"/>
  <c r="B75" i="12"/>
  <c r="C74" i="12"/>
  <c r="B74" i="12"/>
  <c r="C55" i="12"/>
  <c r="B55" i="12"/>
  <c r="C54" i="12"/>
  <c r="B54" i="12"/>
  <c r="B36" i="12"/>
  <c r="C35" i="12"/>
  <c r="B35" i="12"/>
  <c r="C34" i="12"/>
  <c r="B34" i="12"/>
  <c r="C14" i="12"/>
  <c r="B14" i="12"/>
  <c r="B3" i="4"/>
  <c r="B97" i="12" l="1"/>
  <c r="C97" i="12"/>
  <c r="C96" i="12"/>
  <c r="B96" i="12"/>
  <c r="B93" i="12"/>
  <c r="B87" i="12"/>
  <c r="C86" i="12"/>
  <c r="B86" i="12"/>
  <c r="C83" i="12"/>
  <c r="B83" i="12"/>
  <c r="C76" i="12"/>
  <c r="B76" i="12"/>
  <c r="C73" i="12"/>
  <c r="B73" i="12"/>
  <c r="B67" i="12"/>
  <c r="C66" i="12"/>
  <c r="B66" i="12"/>
  <c r="B63" i="12"/>
  <c r="C57" i="12"/>
  <c r="B57" i="12"/>
  <c r="C56" i="12"/>
  <c r="B56" i="12"/>
  <c r="B53" i="12"/>
  <c r="B47" i="12"/>
  <c r="B46" i="12"/>
  <c r="C37" i="12"/>
  <c r="B37" i="12"/>
  <c r="C36" i="12"/>
  <c r="C33" i="12"/>
  <c r="B33" i="12"/>
  <c r="C27" i="12"/>
  <c r="B27" i="12"/>
  <c r="C26" i="12"/>
  <c r="B26" i="12"/>
  <c r="C23" i="12"/>
  <c r="B23" i="12"/>
  <c r="C17" i="12"/>
  <c r="B17" i="12"/>
  <c r="C16" i="12"/>
  <c r="B16" i="12"/>
  <c r="C13" i="12"/>
  <c r="B13" i="12"/>
  <c r="C7" i="12"/>
  <c r="B7" i="12"/>
  <c r="B6" i="12"/>
  <c r="C3" i="12"/>
  <c r="B3" i="12"/>
  <c r="C82" i="11"/>
  <c r="B82" i="11"/>
  <c r="C81" i="11"/>
  <c r="B81" i="11"/>
  <c r="C73" i="11"/>
  <c r="B73" i="11"/>
  <c r="C72" i="11"/>
  <c r="B72" i="11"/>
  <c r="C71" i="11"/>
  <c r="B71" i="11"/>
  <c r="C61" i="11"/>
  <c r="B61" i="11"/>
  <c r="C60" i="11"/>
  <c r="B60" i="11"/>
  <c r="C59" i="11"/>
  <c r="B59" i="11"/>
  <c r="C51" i="11"/>
  <c r="B51" i="11"/>
  <c r="C50" i="11"/>
  <c r="B50" i="11"/>
  <c r="C49" i="11"/>
  <c r="B49" i="11"/>
  <c r="C47" i="11"/>
  <c r="C38" i="11"/>
  <c r="B38" i="11"/>
  <c r="C37" i="11"/>
  <c r="B37" i="11"/>
  <c r="C16" i="11"/>
  <c r="B16" i="11"/>
  <c r="C15" i="11"/>
  <c r="B15" i="11"/>
  <c r="C7" i="11"/>
  <c r="B7" i="11"/>
  <c r="C5" i="11"/>
  <c r="B5" i="11"/>
  <c r="B3" i="11"/>
  <c r="C37" i="10"/>
  <c r="B37" i="10"/>
  <c r="C34" i="10"/>
  <c r="B34" i="10"/>
  <c r="C27" i="10"/>
  <c r="B27" i="10"/>
  <c r="C26" i="10"/>
  <c r="B26" i="10"/>
  <c r="C25" i="10"/>
  <c r="B25" i="10"/>
  <c r="C23" i="10"/>
  <c r="B23" i="10"/>
  <c r="C7" i="10"/>
  <c r="B7" i="10"/>
  <c r="C6" i="10"/>
  <c r="B6" i="10"/>
  <c r="C5" i="10"/>
  <c r="B5" i="10"/>
  <c r="C3" i="10"/>
  <c r="B3" i="10"/>
</calcChain>
</file>

<file path=xl/comments1.xml><?xml version="1.0" encoding="utf-8"?>
<comments xmlns="http://schemas.openxmlformats.org/spreadsheetml/2006/main">
  <authors>
    <author>Author</author>
  </authors>
  <commentList>
    <comment ref="E9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MC=Medical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Absent without medical- E*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Absent without medical</t>
        </r>
      </text>
    </comment>
    <comment ref="E24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E*
</t>
        </r>
      </text>
    </comment>
  </commentList>
</comments>
</file>

<file path=xl/sharedStrings.xml><?xml version="1.0" encoding="utf-8"?>
<sst xmlns="http://schemas.openxmlformats.org/spreadsheetml/2006/main" count="462" uniqueCount="123">
  <si>
    <t>Examination</t>
  </si>
  <si>
    <t>Date of commencement of the examination</t>
  </si>
  <si>
    <t>No. of students sat for the exam</t>
  </si>
  <si>
    <t>No. of students who passed the exam</t>
  </si>
  <si>
    <t>No. of distinctions</t>
  </si>
  <si>
    <t>No. of 1st classes</t>
  </si>
  <si>
    <t>No. of 2nd Upper division</t>
  </si>
  <si>
    <t>No. of 2nd lower division</t>
  </si>
  <si>
    <t>Anatomy</t>
  </si>
  <si>
    <t>Biochemistry</t>
  </si>
  <si>
    <t>Physiology</t>
  </si>
  <si>
    <t>Microbiology</t>
  </si>
  <si>
    <t>Parasitology</t>
  </si>
  <si>
    <t>Comm. Med.</t>
  </si>
  <si>
    <t>Forensic Med.</t>
  </si>
  <si>
    <t>Pathology</t>
  </si>
  <si>
    <t>Pharmacology</t>
  </si>
  <si>
    <t>Medicine</t>
  </si>
  <si>
    <t>Surgery</t>
  </si>
  <si>
    <t>Obs. &amp; Gyn.</t>
  </si>
  <si>
    <t>Psychiatry</t>
  </si>
  <si>
    <t>Paediatrics</t>
  </si>
  <si>
    <t>No. of students who repeated/ failed the exam</t>
  </si>
  <si>
    <t>2nd MBBS (1)</t>
  </si>
  <si>
    <t>2nd MBBS (2)</t>
  </si>
  <si>
    <t>2nd MBBS (3)</t>
  </si>
  <si>
    <t>3rd MBBS – Part I (1)</t>
  </si>
  <si>
    <t>3rd MBBS – Part I (2)</t>
  </si>
  <si>
    <t>3rd MBBS – Part II (1)</t>
  </si>
  <si>
    <t>Final MBBS (1)</t>
  </si>
  <si>
    <t>Final MBBS (2)</t>
  </si>
  <si>
    <t>Summary of examination performance 2020, Faculty of Medicine, University of Ruhuna</t>
  </si>
  <si>
    <t>06.01.2020</t>
  </si>
  <si>
    <t>22.06.2020</t>
  </si>
  <si>
    <t>30.11.2020</t>
  </si>
  <si>
    <t>04.09.2020</t>
  </si>
  <si>
    <t>07.09.2020</t>
  </si>
  <si>
    <t>10.02.2020</t>
  </si>
  <si>
    <t>16.11.2020</t>
  </si>
  <si>
    <t>Summary of examination performance 2019, Faculty of Medicine, University of Ruhuna</t>
  </si>
  <si>
    <t>Summary of examination performance 2018, Faculty of Medicine, University of Ruhuna</t>
  </si>
  <si>
    <t>Summary of examination performance 2017, Faculty of Medicine, University of Ruhuna</t>
  </si>
  <si>
    <t>Summary of examination performance 2016, Faculty of Medicine, University of Ruhuna</t>
  </si>
  <si>
    <t>3rd MBBS – Part II (2)</t>
  </si>
  <si>
    <t>Pass Rate</t>
  </si>
  <si>
    <t>Failure Rate</t>
  </si>
  <si>
    <t xml:space="preserve"> </t>
  </si>
  <si>
    <t xml:space="preserve">  </t>
  </si>
  <si>
    <t>Microbiology - Proper</t>
  </si>
  <si>
    <t>Microbiology - Repeat</t>
  </si>
  <si>
    <t>Parasitology - Proper</t>
  </si>
  <si>
    <t>Parasitology - Repeat</t>
  </si>
  <si>
    <t>Anatomy - Proper Exam</t>
  </si>
  <si>
    <t>Anatomy - Repeat Exam</t>
  </si>
  <si>
    <t>Bio-chemistry - Proper Exam</t>
  </si>
  <si>
    <t>Bio-chemistry - Repeat Exam</t>
  </si>
  <si>
    <t>Physiology - Proper Exam</t>
  </si>
  <si>
    <t>Physiology- Repeat Exam</t>
  </si>
  <si>
    <t>Comm. Med. - Proper Exam</t>
  </si>
  <si>
    <t>Comm. Med. - Repeat Exam</t>
  </si>
  <si>
    <t>Forensic Med. - Proper Exam</t>
  </si>
  <si>
    <t>Forensic Med. - Repeat Exam</t>
  </si>
  <si>
    <t>Pathology - Proper Exam</t>
  </si>
  <si>
    <t>Pathology - Repeat Exam</t>
  </si>
  <si>
    <t>Pharmacology - Proper Exam</t>
  </si>
  <si>
    <t>Pharmacology - Repeat Exam</t>
  </si>
  <si>
    <t>Medicine -Proper Exam</t>
  </si>
  <si>
    <t>Medicine -Repeat Exam</t>
  </si>
  <si>
    <t>Surgery- Proper Exam</t>
  </si>
  <si>
    <t>Surgery- Repeat Exam</t>
  </si>
  <si>
    <t>Obs.&amp; Gyn. - Proper Exam</t>
  </si>
  <si>
    <t>Obs.&amp; Gyn. - Repeat Exam</t>
  </si>
  <si>
    <t>Psychiatry - Proper Exam</t>
  </si>
  <si>
    <t>Psychiatry - Repeat Exam</t>
  </si>
  <si>
    <t>Paediatrics- Proper Exam</t>
  </si>
  <si>
    <t>Paediatrics - Repeat Exam</t>
  </si>
  <si>
    <t>Summary of examination performance 2021, Faculty of Medicine, University of Ruhuna</t>
  </si>
  <si>
    <t xml:space="preserve">Mar /Apr-21 </t>
  </si>
  <si>
    <t>Mar/Apr-21</t>
  </si>
  <si>
    <t>Jul/Aug-21</t>
  </si>
  <si>
    <t>Summary of examination performance 2022, Faculty of Medicine, University of Ruhuna</t>
  </si>
  <si>
    <t>2nd MBBS (1) March/April 2022</t>
  </si>
  <si>
    <t>2022.03.28</t>
  </si>
  <si>
    <t>2nd MBBS (2) August 2022</t>
  </si>
  <si>
    <t>2022.08.01</t>
  </si>
  <si>
    <t>48/MC 3</t>
  </si>
  <si>
    <t>63/MC 3</t>
  </si>
  <si>
    <t>46/ MC 2</t>
  </si>
  <si>
    <t>2nd MBBS (3)December 2022</t>
  </si>
  <si>
    <t>2022.12.05</t>
  </si>
  <si>
    <t>3rd MBBS – Part I (1) Jan/Feb 2022</t>
  </si>
  <si>
    <t>2022.01.31</t>
  </si>
  <si>
    <t>3rd MBBS – Part I (2) July 2022</t>
  </si>
  <si>
    <t>2022.07.04</t>
  </si>
  <si>
    <t>E*2</t>
  </si>
  <si>
    <t>3rd MBBS – Part II (1) January 2022</t>
  </si>
  <si>
    <t>2022.01.03</t>
  </si>
  <si>
    <t>3rd MBBS – Part II (2) March/April 2022</t>
  </si>
  <si>
    <t>2022.03.21</t>
  </si>
  <si>
    <t>27F/E*1/MC1</t>
  </si>
  <si>
    <t>1F/E*1/MC1</t>
  </si>
  <si>
    <t>32F/E*1/MC1</t>
  </si>
  <si>
    <t>18F/E*1/MC1</t>
  </si>
  <si>
    <t>3rd MBBS – Part II (1) August 2022</t>
  </si>
  <si>
    <t>2022.08.22</t>
  </si>
  <si>
    <t>-</t>
  </si>
  <si>
    <t>3rd MBBS – Part II (1) December 2022</t>
  </si>
  <si>
    <t>2022.12.12</t>
  </si>
  <si>
    <t>Final MBBS (1) March/April 2022</t>
  </si>
  <si>
    <t>2022.03.11</t>
  </si>
  <si>
    <t>11 F/E*1/MC1</t>
  </si>
  <si>
    <t>10F/E*1/MC1</t>
  </si>
  <si>
    <t>12F/E*1/MC1</t>
  </si>
  <si>
    <t>E*1/MC1</t>
  </si>
  <si>
    <t>5F/E*1/MC1</t>
  </si>
  <si>
    <t>Final MBBS (2) August 2022</t>
  </si>
  <si>
    <t>2022(Mar/April)</t>
  </si>
  <si>
    <t>2022(December)</t>
  </si>
  <si>
    <t>2022(March/April)</t>
  </si>
  <si>
    <t>2022(Jan)</t>
  </si>
  <si>
    <t>2022(Dec))</t>
  </si>
  <si>
    <t>2022(Dec)</t>
  </si>
  <si>
    <t>2022(Aug)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</si>
</sst>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1" fillId="6" borderId="3" xfId="0" applyFont="1" applyFill="1" applyBorder="1" applyAlignment="1">
      <alignment vertical="top" wrapText="1"/>
    </xf>
    <xf numFmtId="0" fontId="2" fillId="6" borderId="3" xfId="0" applyFont="1" applyFill="1" applyBorder="1" applyAlignment="1">
      <alignment vertical="top" wrapText="1"/>
    </xf>
    <xf numFmtId="0" fontId="4" fillId="0" borderId="0" xfId="0" applyFont="1"/>
    <xf numFmtId="0" fontId="3" fillId="7" borderId="4" xfId="0" applyFont="1" applyFill="1" applyBorder="1" applyAlignment="1">
      <alignment vertical="top" wrapText="1"/>
    </xf>
    <xf numFmtId="0" fontId="1" fillId="7" borderId="6" xfId="0" applyFont="1" applyFill="1" applyBorder="1" applyAlignment="1">
      <alignment horizontal="center" wrapText="1"/>
    </xf>
    <xf numFmtId="17" fontId="1" fillId="2" borderId="6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7" borderId="4" xfId="0" applyFont="1" applyFill="1" applyBorder="1" applyAlignment="1">
      <alignment horizontal="center" vertical="top" wrapText="1"/>
    </xf>
    <xf numFmtId="17" fontId="6" fillId="2" borderId="4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vertical="top" wrapText="1"/>
    </xf>
    <xf numFmtId="9" fontId="0" fillId="0" borderId="0" xfId="0" applyNumberFormat="1"/>
    <xf numFmtId="0" fontId="0" fillId="0" borderId="0" xfId="0" applyAlignment="1">
      <alignment horizontal="center"/>
    </xf>
    <xf numFmtId="0" fontId="3" fillId="8" borderId="4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7" fillId="8" borderId="4" xfId="0" applyFont="1" applyFill="1" applyBorder="1" applyAlignment="1">
      <alignment vertical="top" wrapText="1"/>
    </xf>
    <xf numFmtId="0" fontId="6" fillId="8" borderId="4" xfId="0" applyFont="1" applyFill="1" applyBorder="1" applyAlignment="1">
      <alignment horizontal="center" vertical="top" wrapText="1"/>
    </xf>
    <xf numFmtId="9" fontId="0" fillId="0" borderId="0" xfId="1" applyFont="1"/>
    <xf numFmtId="0" fontId="1" fillId="3" borderId="5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" fontId="1" fillId="2" borderId="6" xfId="0" applyNumberFormat="1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7" fontId="6" fillId="2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17" fontId="6" fillId="8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vertical="top" wrapText="1"/>
    </xf>
    <xf numFmtId="17" fontId="1" fillId="0" borderId="6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0" fontId="3" fillId="8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top" wrapText="1"/>
    </xf>
    <xf numFmtId="17" fontId="1" fillId="0" borderId="9" xfId="0" applyNumberFormat="1" applyFont="1" applyFill="1" applyBorder="1" applyAlignment="1">
      <alignment horizontal="center" vertical="center" wrapText="1"/>
    </xf>
    <xf numFmtId="0" fontId="0" fillId="4" borderId="10" xfId="0" applyFill="1" applyBorder="1"/>
    <xf numFmtId="0" fontId="0" fillId="4" borderId="0" xfId="0" applyFill="1"/>
    <xf numFmtId="0" fontId="3" fillId="4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top" wrapText="1"/>
    </xf>
    <xf numFmtId="17" fontId="6" fillId="0" borderId="4" xfId="0" applyNumberFormat="1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vertical="center" wrapText="1"/>
    </xf>
    <xf numFmtId="0" fontId="1" fillId="10" borderId="3" xfId="0" applyFont="1" applyFill="1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vertical="center" wrapText="1"/>
    </xf>
    <xf numFmtId="0" fontId="1" fillId="11" borderId="3" xfId="0" applyFont="1" applyFill="1" applyBorder="1" applyAlignment="1">
      <alignment vertical="top" wrapText="1"/>
    </xf>
    <xf numFmtId="0" fontId="6" fillId="11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vertical="top" wrapText="1"/>
    </xf>
    <xf numFmtId="0" fontId="6" fillId="8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Anatomy - Proper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 MBBS Summary'!$B$2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'2nd MBBS Summary'!$A$3:$A$9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'2nd MBBS Summary'!$B$3:$B$9</c:f>
              <c:numCache>
                <c:formatCode>0%</c:formatCode>
                <c:ptCount val="7"/>
                <c:pt idx="0">
                  <c:v>0.82</c:v>
                </c:pt>
                <c:pt idx="1">
                  <c:v>0</c:v>
                </c:pt>
                <c:pt idx="2">
                  <c:v>0.79</c:v>
                </c:pt>
                <c:pt idx="3">
                  <c:v>0.81</c:v>
                </c:pt>
                <c:pt idx="4">
                  <c:v>0.7</c:v>
                </c:pt>
                <c:pt idx="5">
                  <c:v>0.83823529411764708</c:v>
                </c:pt>
                <c:pt idx="6">
                  <c:v>0.82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86-44D4-AD91-7BEA2DAD33D3}"/>
            </c:ext>
          </c:extLst>
        </c:ser>
        <c:ser>
          <c:idx val="1"/>
          <c:order val="1"/>
          <c:tx>
            <c:strRef>
              <c:f>'2nd MBBS Summary'!$C$2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'2nd MBBS Summary'!$A$3:$A$9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'2nd MBBS Summary'!$C$3:$C$9</c:f>
              <c:numCache>
                <c:formatCode>0%</c:formatCode>
                <c:ptCount val="7"/>
                <c:pt idx="0">
                  <c:v>0.18</c:v>
                </c:pt>
                <c:pt idx="1">
                  <c:v>0</c:v>
                </c:pt>
                <c:pt idx="2">
                  <c:v>0.21</c:v>
                </c:pt>
                <c:pt idx="3">
                  <c:v>0.19</c:v>
                </c:pt>
                <c:pt idx="4">
                  <c:v>0.3</c:v>
                </c:pt>
                <c:pt idx="5">
                  <c:v>0.16176470588235295</c:v>
                </c:pt>
                <c:pt idx="6">
                  <c:v>0.18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86-44D4-AD91-7BEA2DAD33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807168"/>
        <c:axId val="140808960"/>
      </c:barChart>
      <c:catAx>
        <c:axId val="14080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08960"/>
        <c:crosses val="autoZero"/>
        <c:auto val="1"/>
        <c:lblAlgn val="ctr"/>
        <c:lblOffset val="100"/>
        <c:noMultiLvlLbl val="0"/>
      </c:catAx>
      <c:valAx>
        <c:axId val="14080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0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Parasitology</a:t>
            </a:r>
            <a:r>
              <a:rPr lang="en-US" baseline="0"/>
              <a:t> - Repeat Exam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 MBBS (Part I) Summary'!$B$32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'3rd MBBS (Part I) Summary'!$A$33:$A$39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'3rd MBBS (Part I) Summary'!$B$33:$B$39</c:f>
              <c:numCache>
                <c:formatCode>0%</c:formatCode>
                <c:ptCount val="7"/>
                <c:pt idx="0">
                  <c:v>0.37142857142857144</c:v>
                </c:pt>
                <c:pt idx="1">
                  <c:v>0.8571428571428571</c:v>
                </c:pt>
                <c:pt idx="2">
                  <c:v>1</c:v>
                </c:pt>
                <c:pt idx="3">
                  <c:v>0</c:v>
                </c:pt>
                <c:pt idx="4">
                  <c:v>0.66666666666666663</c:v>
                </c:pt>
                <c:pt idx="5">
                  <c:v>0.96666666666666667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'3rd MBBS (Part I) Summary'!$C$32</c:f>
              <c:strCache>
                <c:ptCount val="1"/>
                <c:pt idx="0">
                  <c:v>Failure Rate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'3rd MBBS (Part I) Summary'!$A$33:$A$39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'3rd MBBS (Part I) Summary'!$C$33:$C$39</c:f>
              <c:numCache>
                <c:formatCode>0%</c:formatCode>
                <c:ptCount val="7"/>
                <c:pt idx="0">
                  <c:v>0.62857142857142856</c:v>
                </c:pt>
                <c:pt idx="1">
                  <c:v>0.14285714285714285</c:v>
                </c:pt>
                <c:pt idx="2">
                  <c:v>0</c:v>
                </c:pt>
                <c:pt idx="3">
                  <c:v>0</c:v>
                </c:pt>
                <c:pt idx="4">
                  <c:v>0.33333333333333331</c:v>
                </c:pt>
                <c:pt idx="5">
                  <c:v>3.3333333333333333E-2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27744"/>
        <c:axId val="148129280"/>
      </c:barChart>
      <c:catAx>
        <c:axId val="14812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129280"/>
        <c:crosses val="autoZero"/>
        <c:auto val="1"/>
        <c:lblAlgn val="ctr"/>
        <c:lblOffset val="100"/>
        <c:noMultiLvlLbl val="0"/>
      </c:catAx>
      <c:valAx>
        <c:axId val="1481292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81277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Pathology - Repeat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3rd MBBS (Part II) Summary'!$B$57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3rd MBBS (Part II) Summary'!$A$58:$A$65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2022(Jan)</c:v>
                </c:pt>
                <c:pt idx="7">
                  <c:v>2022(Aug)</c:v>
                </c:pt>
              </c:strCache>
            </c:strRef>
          </c:cat>
          <c:val>
            <c:numRef>
              <c:f>' 3rd MBBS (Part II) Summary'!$B$58:$B$65</c:f>
              <c:numCache>
                <c:formatCode>0%</c:formatCode>
                <c:ptCount val="8"/>
                <c:pt idx="0">
                  <c:v>0</c:v>
                </c:pt>
                <c:pt idx="1">
                  <c:v>0.90123456790123457</c:v>
                </c:pt>
                <c:pt idx="2">
                  <c:v>0.93877551020408168</c:v>
                </c:pt>
                <c:pt idx="3">
                  <c:v>0.9464285714285714</c:v>
                </c:pt>
                <c:pt idx="4">
                  <c:v>0</c:v>
                </c:pt>
                <c:pt idx="5">
                  <c:v>0.9</c:v>
                </c:pt>
                <c:pt idx="6">
                  <c:v>0.93</c:v>
                </c:pt>
                <c:pt idx="7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D4-4275-9DD9-D6A4996C3955}"/>
            </c:ext>
          </c:extLst>
        </c:ser>
        <c:ser>
          <c:idx val="1"/>
          <c:order val="1"/>
          <c:tx>
            <c:strRef>
              <c:f>' 3rd MBBS (Part II) Summary'!$C$57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3rd MBBS (Part II) Summary'!$A$58:$A$65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2022(Jan)</c:v>
                </c:pt>
                <c:pt idx="7">
                  <c:v>2022(Aug)</c:v>
                </c:pt>
              </c:strCache>
            </c:strRef>
          </c:cat>
          <c:val>
            <c:numRef>
              <c:f>' 3rd MBBS (Part II) Summary'!$C$58:$C$65</c:f>
              <c:numCache>
                <c:formatCode>0%</c:formatCode>
                <c:ptCount val="8"/>
                <c:pt idx="0">
                  <c:v>0</c:v>
                </c:pt>
                <c:pt idx="1">
                  <c:v>9.8765432098765427E-2</c:v>
                </c:pt>
                <c:pt idx="2">
                  <c:v>6.1224489795918366E-2</c:v>
                </c:pt>
                <c:pt idx="3">
                  <c:v>5.3571428571428568E-2</c:v>
                </c:pt>
                <c:pt idx="4">
                  <c:v>0</c:v>
                </c:pt>
                <c:pt idx="5">
                  <c:v>0.1</c:v>
                </c:pt>
                <c:pt idx="6">
                  <c:v>7.0000000000000007E-2</c:v>
                </c:pt>
                <c:pt idx="7">
                  <c:v>0.14000000000000001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D4-4275-9DD9-D6A4996C39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7829120"/>
        <c:axId val="147830656"/>
      </c:barChart>
      <c:catAx>
        <c:axId val="14782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30656"/>
        <c:crosses val="autoZero"/>
        <c:auto val="1"/>
        <c:lblAlgn val="ctr"/>
        <c:lblOffset val="100"/>
        <c:noMultiLvlLbl val="0"/>
      </c:catAx>
      <c:valAx>
        <c:axId val="14783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2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Pathology - Proper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3rd MBBS (Part II) Summary'!$B$46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3rd MBBS (Part II) Summary'!$A$47:$A$54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2022(March/April)</c:v>
                </c:pt>
                <c:pt idx="7">
                  <c:v>2022(Dec)</c:v>
                </c:pt>
              </c:strCache>
            </c:strRef>
          </c:cat>
          <c:val>
            <c:numRef>
              <c:f>' 3rd MBBS (Part II) Summary'!$B$47:$B$54</c:f>
              <c:numCache>
                <c:formatCode>0%</c:formatCode>
                <c:ptCount val="8"/>
                <c:pt idx="0">
                  <c:v>0.54802259887005644</c:v>
                </c:pt>
                <c:pt idx="1">
                  <c:v>0</c:v>
                </c:pt>
                <c:pt idx="2">
                  <c:v>0.71176470588235297</c:v>
                </c:pt>
                <c:pt idx="3">
                  <c:v>0.57926829268292679</c:v>
                </c:pt>
                <c:pt idx="4">
                  <c:v>0.88888888888888884</c:v>
                </c:pt>
                <c:pt idx="5">
                  <c:v>0.82165605095541405</c:v>
                </c:pt>
                <c:pt idx="6">
                  <c:v>0.82</c:v>
                </c:pt>
                <c:pt idx="7">
                  <c:v>0.85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32-43F4-80BE-20A8D91EBD21}"/>
            </c:ext>
          </c:extLst>
        </c:ser>
        <c:ser>
          <c:idx val="1"/>
          <c:order val="1"/>
          <c:tx>
            <c:strRef>
              <c:f>' 3rd MBBS (Part II) Summary'!$C$46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3rd MBBS (Part II) Summary'!$A$47:$A$54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2022(March/April)</c:v>
                </c:pt>
                <c:pt idx="7">
                  <c:v>2022(Dec)</c:v>
                </c:pt>
              </c:strCache>
            </c:strRef>
          </c:cat>
          <c:val>
            <c:numRef>
              <c:f>' 3rd MBBS (Part II) Summary'!$C$47:$C$54</c:f>
              <c:numCache>
                <c:formatCode>0%</c:formatCode>
                <c:ptCount val="8"/>
                <c:pt idx="0">
                  <c:v>0.4519774011299435</c:v>
                </c:pt>
                <c:pt idx="1">
                  <c:v>0</c:v>
                </c:pt>
                <c:pt idx="2">
                  <c:v>0.28823529411764703</c:v>
                </c:pt>
                <c:pt idx="3">
                  <c:v>0.42073170731707316</c:v>
                </c:pt>
                <c:pt idx="4">
                  <c:v>0.1111111111111111</c:v>
                </c:pt>
                <c:pt idx="5">
                  <c:v>0.17834394904458598</c:v>
                </c:pt>
                <c:pt idx="6">
                  <c:v>0.18</c:v>
                </c:pt>
                <c:pt idx="7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2-43F4-80BE-20A8D91EBD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7894656"/>
        <c:axId val="147896192"/>
      </c:barChart>
      <c:catAx>
        <c:axId val="14789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96192"/>
        <c:crosses val="autoZero"/>
        <c:auto val="1"/>
        <c:lblAlgn val="ctr"/>
        <c:lblOffset val="100"/>
        <c:noMultiLvlLbl val="0"/>
      </c:catAx>
      <c:valAx>
        <c:axId val="14789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Pharmacology - Proper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3rd MBBS (Part II) Summary'!$B$68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3rd MBBS (Part II) Summary'!$A$69:$A$76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2022(March/April)</c:v>
                </c:pt>
                <c:pt idx="7">
                  <c:v>2022(Dec)</c:v>
                </c:pt>
              </c:strCache>
            </c:strRef>
          </c:cat>
          <c:val>
            <c:numRef>
              <c:f>' 3rd MBBS (Part II) Summary'!$B$69:$B$76</c:f>
              <c:numCache>
                <c:formatCode>0%</c:formatCode>
                <c:ptCount val="8"/>
                <c:pt idx="0">
                  <c:v>0.73799126637554591</c:v>
                </c:pt>
                <c:pt idx="1">
                  <c:v>0</c:v>
                </c:pt>
                <c:pt idx="2">
                  <c:v>0.85380116959064323</c:v>
                </c:pt>
                <c:pt idx="3">
                  <c:v>0.57668711656441718</c:v>
                </c:pt>
                <c:pt idx="4">
                  <c:v>0.82857142857142863</c:v>
                </c:pt>
                <c:pt idx="5">
                  <c:v>0.78205128205128205</c:v>
                </c:pt>
                <c:pt idx="6">
                  <c:v>0.9</c:v>
                </c:pt>
                <c:pt idx="7">
                  <c:v>0.81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A7-4055-BC00-7DABBBB64038}"/>
            </c:ext>
          </c:extLst>
        </c:ser>
        <c:ser>
          <c:idx val="1"/>
          <c:order val="1"/>
          <c:tx>
            <c:strRef>
              <c:f>' 3rd MBBS (Part II) Summary'!$C$68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3rd MBBS (Part II) Summary'!$A$69:$A$76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2022(March/April)</c:v>
                </c:pt>
                <c:pt idx="7">
                  <c:v>2022(Dec)</c:v>
                </c:pt>
              </c:strCache>
            </c:strRef>
          </c:cat>
          <c:val>
            <c:numRef>
              <c:f>' 3rd MBBS (Part II) Summary'!$C$69:$C$76</c:f>
              <c:numCache>
                <c:formatCode>0%</c:formatCode>
                <c:ptCount val="8"/>
                <c:pt idx="0">
                  <c:v>0.26200873362445415</c:v>
                </c:pt>
                <c:pt idx="1">
                  <c:v>0</c:v>
                </c:pt>
                <c:pt idx="2">
                  <c:v>0.14619883040935672</c:v>
                </c:pt>
                <c:pt idx="3">
                  <c:v>0.42331288343558282</c:v>
                </c:pt>
                <c:pt idx="4">
                  <c:v>0.17142857142857143</c:v>
                </c:pt>
                <c:pt idx="5">
                  <c:v>0.21794871794871795</c:v>
                </c:pt>
                <c:pt idx="6">
                  <c:v>0.1</c:v>
                </c:pt>
                <c:pt idx="7">
                  <c:v>0.19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A7-4055-BC00-7DABBBB640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7981056"/>
        <c:axId val="147982208"/>
      </c:barChart>
      <c:catAx>
        <c:axId val="14798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82208"/>
        <c:crosses val="autoZero"/>
        <c:auto val="1"/>
        <c:lblAlgn val="ctr"/>
        <c:lblOffset val="100"/>
        <c:noMultiLvlLbl val="0"/>
      </c:catAx>
      <c:valAx>
        <c:axId val="14798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8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Pharmacology - Repeat Exam</a:t>
            </a:r>
          </a:p>
        </c:rich>
      </c:tx>
      <c:layout>
        <c:manualLayout>
          <c:xMode val="edge"/>
          <c:yMode val="edge"/>
          <c:x val="0.27060411198600182"/>
          <c:y val="4.16666666666666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3rd MBBS (Part II) Summary'!$B$79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3rd MBBS (Part II) Summary'!$A$80:$A$87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2022(Jan)</c:v>
                </c:pt>
                <c:pt idx="7">
                  <c:v>2022(Aug)</c:v>
                </c:pt>
              </c:strCache>
            </c:strRef>
          </c:cat>
          <c:val>
            <c:numRef>
              <c:f>' 3rd MBBS (Part II) Summary'!$B$80:$B$87</c:f>
              <c:numCache>
                <c:formatCode>0%</c:formatCode>
                <c:ptCount val="8"/>
                <c:pt idx="0">
                  <c:v>0</c:v>
                </c:pt>
                <c:pt idx="1">
                  <c:v>0.86885245901639341</c:v>
                </c:pt>
                <c:pt idx="2">
                  <c:v>0.92</c:v>
                </c:pt>
                <c:pt idx="3">
                  <c:v>0.88888888888888884</c:v>
                </c:pt>
                <c:pt idx="4">
                  <c:v>0</c:v>
                </c:pt>
                <c:pt idx="5">
                  <c:v>0.967741935483871</c:v>
                </c:pt>
                <c:pt idx="6">
                  <c:v>0.97</c:v>
                </c:pt>
                <c:pt idx="7">
                  <c:v>0.65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B4-412D-AA5D-BD3E773B10B5}"/>
            </c:ext>
          </c:extLst>
        </c:ser>
        <c:ser>
          <c:idx val="1"/>
          <c:order val="1"/>
          <c:tx>
            <c:strRef>
              <c:f>' 3rd MBBS (Part II) Summary'!$C$79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3rd MBBS (Part II) Summary'!$A$80:$A$87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2022(Jan)</c:v>
                </c:pt>
                <c:pt idx="7">
                  <c:v>2022(Aug)</c:v>
                </c:pt>
              </c:strCache>
            </c:strRef>
          </c:cat>
          <c:val>
            <c:numRef>
              <c:f>' 3rd MBBS (Part II) Summary'!$C$80:$C$87</c:f>
              <c:numCache>
                <c:formatCode>0%</c:formatCode>
                <c:ptCount val="8"/>
                <c:pt idx="0">
                  <c:v>0</c:v>
                </c:pt>
                <c:pt idx="1">
                  <c:v>0.13114754098360656</c:v>
                </c:pt>
                <c:pt idx="2">
                  <c:v>0.08</c:v>
                </c:pt>
                <c:pt idx="3">
                  <c:v>0.1111111111111111</c:v>
                </c:pt>
                <c:pt idx="4">
                  <c:v>0</c:v>
                </c:pt>
                <c:pt idx="5">
                  <c:v>3.2258064516129031E-2</c:v>
                </c:pt>
                <c:pt idx="6">
                  <c:v>0.03</c:v>
                </c:pt>
                <c:pt idx="7">
                  <c:v>0.35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B4-412D-AA5D-BD3E773B10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042112"/>
        <c:axId val="148043648"/>
      </c:barChart>
      <c:catAx>
        <c:axId val="14804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43648"/>
        <c:crosses val="autoZero"/>
        <c:auto val="1"/>
        <c:lblAlgn val="ctr"/>
        <c:lblOffset val="100"/>
        <c:noMultiLvlLbl val="0"/>
      </c:catAx>
      <c:valAx>
        <c:axId val="14804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Comm. Med. - Proper Exam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3rd MBBS (Part II) Summary'!$B$2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 3rd MBBS (Part II) Summary'!$A$3:$A$10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2022(March/April)</c:v>
                </c:pt>
                <c:pt idx="7">
                  <c:v>2022(Dec))</c:v>
                </c:pt>
              </c:strCache>
            </c:strRef>
          </c:cat>
          <c:val>
            <c:numRef>
              <c:f>' 3rd MBBS (Part II) Summary'!$B$3:$B$10</c:f>
              <c:numCache>
                <c:formatCode>0%</c:formatCode>
                <c:ptCount val="8"/>
                <c:pt idx="0">
                  <c:v>0.70414201183431957</c:v>
                </c:pt>
                <c:pt idx="1">
                  <c:v>0</c:v>
                </c:pt>
                <c:pt idx="2">
                  <c:v>0.84482758620689657</c:v>
                </c:pt>
                <c:pt idx="3">
                  <c:v>0.57999999999999996</c:v>
                </c:pt>
                <c:pt idx="4">
                  <c:v>0.86470588235294121</c:v>
                </c:pt>
                <c:pt idx="5">
                  <c:v>0.8152866242038217</c:v>
                </c:pt>
                <c:pt idx="6">
                  <c:v>0.85</c:v>
                </c:pt>
                <c:pt idx="7">
                  <c:v>0.86</c:v>
                </c:pt>
              </c:numCache>
            </c:numRef>
          </c:val>
        </c:ser>
        <c:ser>
          <c:idx val="1"/>
          <c:order val="1"/>
          <c:tx>
            <c:strRef>
              <c:f>' 3rd MBBS (Part II) Summary'!$C$2</c:f>
              <c:strCache>
                <c:ptCount val="1"/>
                <c:pt idx="0">
                  <c:v>Failure Rate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 3rd MBBS (Part II) Summary'!$A$3:$A$10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2022(March/April)</c:v>
                </c:pt>
                <c:pt idx="7">
                  <c:v>2022(Dec))</c:v>
                </c:pt>
              </c:strCache>
            </c:strRef>
          </c:cat>
          <c:val>
            <c:numRef>
              <c:f>' 3rd MBBS (Part II) Summary'!$C$3:$C$10</c:f>
              <c:numCache>
                <c:formatCode>0%</c:formatCode>
                <c:ptCount val="8"/>
                <c:pt idx="0">
                  <c:v>0.3</c:v>
                </c:pt>
                <c:pt idx="1">
                  <c:v>0</c:v>
                </c:pt>
                <c:pt idx="2">
                  <c:v>0.15517241379310345</c:v>
                </c:pt>
                <c:pt idx="3">
                  <c:v>0.42</c:v>
                </c:pt>
                <c:pt idx="4">
                  <c:v>0.13529411764705881</c:v>
                </c:pt>
                <c:pt idx="5">
                  <c:v>0.18471337579617833</c:v>
                </c:pt>
                <c:pt idx="6">
                  <c:v>0.15</c:v>
                </c:pt>
                <c:pt idx="7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54784"/>
        <c:axId val="148472960"/>
      </c:barChart>
      <c:catAx>
        <c:axId val="14845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472960"/>
        <c:crosses val="autoZero"/>
        <c:auto val="1"/>
        <c:lblAlgn val="ctr"/>
        <c:lblOffset val="100"/>
        <c:noMultiLvlLbl val="0"/>
      </c:catAx>
      <c:valAx>
        <c:axId val="148472960"/>
        <c:scaling>
          <c:orientation val="minMax"/>
          <c:max val="1.2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84547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Comm.</a:t>
            </a:r>
            <a:r>
              <a:rPr lang="en-US" baseline="0"/>
              <a:t> Med. -Repeat Exam 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3rd MBBS (Part II) Summary'!$B$13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 3rd MBBS (Part II) Summary'!$A$14:$A$21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2022(Jan)</c:v>
                </c:pt>
                <c:pt idx="7">
                  <c:v>2022(Aug)</c:v>
                </c:pt>
              </c:strCache>
            </c:strRef>
          </c:cat>
          <c:val>
            <c:numRef>
              <c:f>' 3rd MBBS (Part II) Summary'!$B$14:$B$21</c:f>
              <c:numCache>
                <c:formatCode>0%</c:formatCode>
                <c:ptCount val="8"/>
                <c:pt idx="0">
                  <c:v>0</c:v>
                </c:pt>
                <c:pt idx="1">
                  <c:v>0.78431372549019607</c:v>
                </c:pt>
                <c:pt idx="2">
                  <c:v>0.96296296296296291</c:v>
                </c:pt>
                <c:pt idx="3">
                  <c:v>0.7567567567567568</c:v>
                </c:pt>
                <c:pt idx="4">
                  <c:v>0</c:v>
                </c:pt>
                <c:pt idx="5">
                  <c:v>0.91666666666666663</c:v>
                </c:pt>
                <c:pt idx="6">
                  <c:v>0.93</c:v>
                </c:pt>
                <c:pt idx="7">
                  <c:v>0.9</c:v>
                </c:pt>
              </c:numCache>
            </c:numRef>
          </c:val>
        </c:ser>
        <c:ser>
          <c:idx val="1"/>
          <c:order val="1"/>
          <c:tx>
            <c:strRef>
              <c:f>' 3rd MBBS (Part II) Summary'!$C$13</c:f>
              <c:strCache>
                <c:ptCount val="1"/>
                <c:pt idx="0">
                  <c:v>Failure Rate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 3rd MBBS (Part II) Summary'!$A$14:$A$21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2022(Jan)</c:v>
                </c:pt>
                <c:pt idx="7">
                  <c:v>2022(Aug)</c:v>
                </c:pt>
              </c:strCache>
            </c:strRef>
          </c:cat>
          <c:val>
            <c:numRef>
              <c:f>' 3rd MBBS (Part II) Summary'!$C$14:$C$21</c:f>
              <c:numCache>
                <c:formatCode>0%</c:formatCode>
                <c:ptCount val="8"/>
                <c:pt idx="0">
                  <c:v>0</c:v>
                </c:pt>
                <c:pt idx="1">
                  <c:v>0.21568627450980393</c:v>
                </c:pt>
                <c:pt idx="2">
                  <c:v>3.7037037037037035E-2</c:v>
                </c:pt>
                <c:pt idx="3">
                  <c:v>0.24324324324324326</c:v>
                </c:pt>
                <c:pt idx="4">
                  <c:v>0</c:v>
                </c:pt>
                <c:pt idx="5">
                  <c:v>8.3333333333333329E-2</c:v>
                </c:pt>
                <c:pt idx="6">
                  <c:v>7.0000000000000007E-2</c:v>
                </c:pt>
                <c:pt idx="7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507264"/>
        <c:axId val="148529536"/>
      </c:barChart>
      <c:catAx>
        <c:axId val="14850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529536"/>
        <c:crosses val="autoZero"/>
        <c:auto val="1"/>
        <c:lblAlgn val="ctr"/>
        <c:lblOffset val="100"/>
        <c:noMultiLvlLbl val="0"/>
      </c:catAx>
      <c:valAx>
        <c:axId val="1485295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85072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Forensic Med. - Proper Exam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3rd MBBS (Part II) Summary'!$B$24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 3rd MBBS (Part II) Summary'!$A$25:$A$32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2022(March/April)</c:v>
                </c:pt>
                <c:pt idx="7">
                  <c:v>2022(Dec)</c:v>
                </c:pt>
              </c:strCache>
            </c:strRef>
          </c:cat>
          <c:val>
            <c:numRef>
              <c:f>' 3rd MBBS (Part II) Summary'!$B$25:$B$32</c:f>
              <c:numCache>
                <c:formatCode>0%</c:formatCode>
                <c:ptCount val="8"/>
                <c:pt idx="0">
                  <c:v>0.69</c:v>
                </c:pt>
                <c:pt idx="1">
                  <c:v>0</c:v>
                </c:pt>
                <c:pt idx="2">
                  <c:v>0.87</c:v>
                </c:pt>
                <c:pt idx="3">
                  <c:v>0.57999999999999996</c:v>
                </c:pt>
                <c:pt idx="4">
                  <c:v>0.97</c:v>
                </c:pt>
                <c:pt idx="5">
                  <c:v>0.93548387096774188</c:v>
                </c:pt>
                <c:pt idx="6">
                  <c:v>0.99</c:v>
                </c:pt>
                <c:pt idx="7">
                  <c:v>0.9</c:v>
                </c:pt>
              </c:numCache>
            </c:numRef>
          </c:val>
        </c:ser>
        <c:ser>
          <c:idx val="1"/>
          <c:order val="1"/>
          <c:tx>
            <c:strRef>
              <c:f>' 3rd MBBS (Part II) Summary'!$C$24</c:f>
              <c:strCache>
                <c:ptCount val="1"/>
                <c:pt idx="0">
                  <c:v>Failure Rate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 3rd MBBS (Part II) Summary'!$A$25:$A$32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2022(March/April)</c:v>
                </c:pt>
                <c:pt idx="7">
                  <c:v>2022(Dec)</c:v>
                </c:pt>
              </c:strCache>
            </c:strRef>
          </c:cat>
          <c:val>
            <c:numRef>
              <c:f>' 3rd MBBS (Part II) Summary'!$C$25:$C$32</c:f>
              <c:numCache>
                <c:formatCode>0%</c:formatCode>
                <c:ptCount val="8"/>
                <c:pt idx="0">
                  <c:v>0.31</c:v>
                </c:pt>
                <c:pt idx="1">
                  <c:v>0</c:v>
                </c:pt>
                <c:pt idx="2">
                  <c:v>0.13</c:v>
                </c:pt>
                <c:pt idx="3">
                  <c:v>0.42</c:v>
                </c:pt>
                <c:pt idx="4">
                  <c:v>0.03</c:v>
                </c:pt>
                <c:pt idx="5">
                  <c:v>6.4516129032258063E-2</c:v>
                </c:pt>
                <c:pt idx="6">
                  <c:v>0.01</c:v>
                </c:pt>
                <c:pt idx="7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551552"/>
        <c:axId val="148553088"/>
      </c:barChart>
      <c:catAx>
        <c:axId val="14855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553088"/>
        <c:crosses val="autoZero"/>
        <c:auto val="1"/>
        <c:lblAlgn val="ctr"/>
        <c:lblOffset val="100"/>
        <c:noMultiLvlLbl val="0"/>
      </c:catAx>
      <c:valAx>
        <c:axId val="1485530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85515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Forensic Med. - Repeat Exam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3rd MBBS (Part II) Summary'!$B$35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 3rd MBBS (Part II) Summary'!$A$36:$A$43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2022(Jan)</c:v>
                </c:pt>
                <c:pt idx="7">
                  <c:v>2022(Aug)</c:v>
                </c:pt>
              </c:strCache>
            </c:strRef>
          </c:cat>
          <c:val>
            <c:numRef>
              <c:f>' 3rd MBBS (Part II) Summary'!$B$36:$B$43</c:f>
              <c:numCache>
                <c:formatCode>0%</c:formatCode>
                <c:ptCount val="8"/>
                <c:pt idx="0">
                  <c:v>0</c:v>
                </c:pt>
                <c:pt idx="1">
                  <c:v>0.7592592592592593</c:v>
                </c:pt>
                <c:pt idx="2">
                  <c:v>0.91666666666666663</c:v>
                </c:pt>
                <c:pt idx="3">
                  <c:v>0.94444444444444442</c:v>
                </c:pt>
                <c:pt idx="4">
                  <c:v>0</c:v>
                </c:pt>
                <c:pt idx="5">
                  <c:v>1</c:v>
                </c:pt>
                <c:pt idx="6">
                  <c:v>0.9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strRef>
              <c:f>' 3rd MBBS (Part II) Summary'!$C$35</c:f>
              <c:strCache>
                <c:ptCount val="1"/>
                <c:pt idx="0">
                  <c:v>Failure Rate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 3rd MBBS (Part II) Summary'!$A$36:$A$43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2022(Jan)</c:v>
                </c:pt>
                <c:pt idx="7">
                  <c:v>2022(Aug)</c:v>
                </c:pt>
              </c:strCache>
            </c:strRef>
          </c:cat>
          <c:val>
            <c:numRef>
              <c:f>' 3rd MBBS (Part II) Summary'!$C$36:$C$43</c:f>
              <c:numCache>
                <c:formatCode>0%</c:formatCode>
                <c:ptCount val="8"/>
                <c:pt idx="0">
                  <c:v>0</c:v>
                </c:pt>
                <c:pt idx="1">
                  <c:v>0.24074074074074073</c:v>
                </c:pt>
                <c:pt idx="2">
                  <c:v>8.3333333333333329E-2</c:v>
                </c:pt>
                <c:pt idx="3">
                  <c:v>5.5555555555555552E-2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61376"/>
        <c:axId val="148662912"/>
      </c:barChart>
      <c:catAx>
        <c:axId val="14866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662912"/>
        <c:crosses val="autoZero"/>
        <c:auto val="1"/>
        <c:lblAlgn val="ctr"/>
        <c:lblOffset val="100"/>
        <c:noMultiLvlLbl val="0"/>
      </c:catAx>
      <c:valAx>
        <c:axId val="1486629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8661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Medicine - Proper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Final MBBS Summary'!$B$2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Summary'!$A$3:$A$9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Summary'!$B$3:$B$9</c:f>
              <c:numCache>
                <c:formatCode>0%</c:formatCode>
                <c:ptCount val="7"/>
                <c:pt idx="0">
                  <c:v>0.9173553719008265</c:v>
                </c:pt>
                <c:pt idx="1">
                  <c:v>0</c:v>
                </c:pt>
                <c:pt idx="2">
                  <c:v>0</c:v>
                </c:pt>
                <c:pt idx="3">
                  <c:v>0.83647798742138368</c:v>
                </c:pt>
                <c:pt idx="4">
                  <c:v>0.89156626506024095</c:v>
                </c:pt>
                <c:pt idx="5">
                  <c:v>0.96835443037974689</c:v>
                </c:pt>
                <c:pt idx="6">
                  <c:v>0.93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57-4928-9572-B7819EB84504}"/>
            </c:ext>
          </c:extLst>
        </c:ser>
        <c:ser>
          <c:idx val="1"/>
          <c:order val="1"/>
          <c:tx>
            <c:strRef>
              <c:f>' Final MBBS Summary'!$C$2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Summary'!$A$3:$A$9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Summary'!$C$3:$C$9</c:f>
              <c:numCache>
                <c:formatCode>0%</c:formatCode>
                <c:ptCount val="7"/>
                <c:pt idx="0">
                  <c:v>8.2644628099173556E-2</c:v>
                </c:pt>
                <c:pt idx="1">
                  <c:v>0</c:v>
                </c:pt>
                <c:pt idx="2">
                  <c:v>0</c:v>
                </c:pt>
                <c:pt idx="3">
                  <c:v>0.16</c:v>
                </c:pt>
                <c:pt idx="4">
                  <c:v>0.10843373493975904</c:v>
                </c:pt>
                <c:pt idx="5">
                  <c:v>3.1645569620253167E-2</c:v>
                </c:pt>
                <c:pt idx="6">
                  <c:v>7.0000000000000007E-2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57-4928-9572-B7819EB845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788736"/>
        <c:axId val="148790272"/>
      </c:barChart>
      <c:catAx>
        <c:axId val="14878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790272"/>
        <c:crosses val="autoZero"/>
        <c:auto val="1"/>
        <c:lblAlgn val="ctr"/>
        <c:lblOffset val="100"/>
        <c:noMultiLvlLbl val="0"/>
      </c:catAx>
      <c:valAx>
        <c:axId val="1487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78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Anatomy - Repeat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 MBBS Summary'!$B$12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'2nd MBBS Summary'!$A$13:$A$20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2022(Mar/April)</c:v>
                </c:pt>
                <c:pt idx="7">
                  <c:v>2022(December)</c:v>
                </c:pt>
              </c:strCache>
            </c:strRef>
          </c:cat>
          <c:val>
            <c:numRef>
              <c:f>'2nd MBBS Summary'!$B$13:$B$20</c:f>
              <c:numCache>
                <c:formatCode>0%</c:formatCode>
                <c:ptCount val="8"/>
                <c:pt idx="0">
                  <c:v>0.83</c:v>
                </c:pt>
                <c:pt idx="1">
                  <c:v>0</c:v>
                </c:pt>
                <c:pt idx="2">
                  <c:v>1</c:v>
                </c:pt>
                <c:pt idx="3">
                  <c:v>0.81</c:v>
                </c:pt>
                <c:pt idx="4">
                  <c:v>0.87</c:v>
                </c:pt>
                <c:pt idx="5">
                  <c:v>0.94736842105263153</c:v>
                </c:pt>
                <c:pt idx="6">
                  <c:v>0.875</c:v>
                </c:pt>
                <c:pt idx="7">
                  <c:v>0.81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1A-435B-83BC-45071B987DF8}"/>
            </c:ext>
          </c:extLst>
        </c:ser>
        <c:ser>
          <c:idx val="1"/>
          <c:order val="1"/>
          <c:tx>
            <c:strRef>
              <c:f>'2nd MBBS Summary'!$C$12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'2nd MBBS Summary'!$A$13:$A$20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2022(Mar/April)</c:v>
                </c:pt>
                <c:pt idx="7">
                  <c:v>2022(December)</c:v>
                </c:pt>
              </c:strCache>
            </c:strRef>
          </c:cat>
          <c:val>
            <c:numRef>
              <c:f>'2nd MBBS Summary'!$C$13:$C$20</c:f>
              <c:numCache>
                <c:formatCode>0%</c:formatCode>
                <c:ptCount val="8"/>
                <c:pt idx="0">
                  <c:v>0.17</c:v>
                </c:pt>
                <c:pt idx="1">
                  <c:v>0</c:v>
                </c:pt>
                <c:pt idx="2">
                  <c:v>0</c:v>
                </c:pt>
                <c:pt idx="3">
                  <c:v>0.19</c:v>
                </c:pt>
                <c:pt idx="4">
                  <c:v>0.13</c:v>
                </c:pt>
                <c:pt idx="5">
                  <c:v>5.2631578947368418E-2</c:v>
                </c:pt>
                <c:pt idx="6">
                  <c:v>0.12</c:v>
                </c:pt>
                <c:pt idx="7">
                  <c:v>0.19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31A-435B-83BC-45071B987D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835840"/>
        <c:axId val="147604224"/>
      </c:barChart>
      <c:catAx>
        <c:axId val="14083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604224"/>
        <c:crosses val="autoZero"/>
        <c:auto val="1"/>
        <c:lblAlgn val="ctr"/>
        <c:lblOffset val="100"/>
        <c:noMultiLvlLbl val="0"/>
      </c:catAx>
      <c:valAx>
        <c:axId val="14760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3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Medicine -Repeat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Final MBBS Summary'!$B$12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Summary'!$A$13:$A$19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Summary'!$B$13:$B$19</c:f>
              <c:numCache>
                <c:formatCode>0%</c:formatCode>
                <c:ptCount val="7"/>
                <c:pt idx="0">
                  <c:v>0.83333333333333337</c:v>
                </c:pt>
                <c:pt idx="1">
                  <c:v>0.89655172413793105</c:v>
                </c:pt>
                <c:pt idx="2">
                  <c:v>0</c:v>
                </c:pt>
                <c:pt idx="3">
                  <c:v>0.77777777777777779</c:v>
                </c:pt>
                <c:pt idx="4">
                  <c:v>0.84210526315789469</c:v>
                </c:pt>
                <c:pt idx="5">
                  <c:v>0.66666666666666663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E5-44D2-9412-8E715C9D71E0}"/>
            </c:ext>
          </c:extLst>
        </c:ser>
        <c:ser>
          <c:idx val="1"/>
          <c:order val="1"/>
          <c:tx>
            <c:strRef>
              <c:f>' Final MBBS Summary'!$C$12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Summary'!$A$13:$A$19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Summary'!$C$13:$C$19</c:f>
              <c:numCache>
                <c:formatCode>0%</c:formatCode>
                <c:ptCount val="7"/>
                <c:pt idx="0">
                  <c:v>0.16666666666666666</c:v>
                </c:pt>
                <c:pt idx="1">
                  <c:v>0.10344827586206896</c:v>
                </c:pt>
                <c:pt idx="2">
                  <c:v>1</c:v>
                </c:pt>
                <c:pt idx="3">
                  <c:v>0.22222222222222221</c:v>
                </c:pt>
                <c:pt idx="4">
                  <c:v>0.15789473684210525</c:v>
                </c:pt>
                <c:pt idx="5">
                  <c:v>0.33333333333333331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E5-44D2-9412-8E715C9D71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719104"/>
        <c:axId val="148720640"/>
      </c:barChart>
      <c:catAx>
        <c:axId val="14871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720640"/>
        <c:crosses val="autoZero"/>
        <c:auto val="1"/>
        <c:lblAlgn val="ctr"/>
        <c:lblOffset val="100"/>
        <c:noMultiLvlLbl val="0"/>
      </c:catAx>
      <c:valAx>
        <c:axId val="14872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71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Surgery- Proper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Final MBBS Summary'!$B$22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Summary'!$A$23:$A$29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Summary'!$B$23:$B$29</c:f>
              <c:numCache>
                <c:formatCode>0%</c:formatCode>
                <c:ptCount val="7"/>
                <c:pt idx="0">
                  <c:v>0.76190476190476186</c:v>
                </c:pt>
                <c:pt idx="1">
                  <c:v>0</c:v>
                </c:pt>
                <c:pt idx="2">
                  <c:v>0</c:v>
                </c:pt>
                <c:pt idx="3">
                  <c:v>0.68553459119496851</c:v>
                </c:pt>
                <c:pt idx="4">
                  <c:v>0.86857142857142855</c:v>
                </c:pt>
                <c:pt idx="5">
                  <c:v>0.97435897435897434</c:v>
                </c:pt>
                <c:pt idx="6">
                  <c:v>0.94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30-4692-A78E-F90798668422}"/>
            </c:ext>
          </c:extLst>
        </c:ser>
        <c:ser>
          <c:idx val="1"/>
          <c:order val="1"/>
          <c:tx>
            <c:strRef>
              <c:f>' Final MBBS Summary'!$C$22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Summary'!$A$23:$A$29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Summary'!$C$23:$C$29</c:f>
              <c:numCache>
                <c:formatCode>0%</c:formatCode>
                <c:ptCount val="7"/>
                <c:pt idx="0">
                  <c:v>0.23809523809523808</c:v>
                </c:pt>
                <c:pt idx="1">
                  <c:v>0</c:v>
                </c:pt>
                <c:pt idx="2">
                  <c:v>0</c:v>
                </c:pt>
                <c:pt idx="3">
                  <c:v>0.31446540880503143</c:v>
                </c:pt>
                <c:pt idx="4">
                  <c:v>0.13142857142857142</c:v>
                </c:pt>
                <c:pt idx="5">
                  <c:v>2.564102564102564E-2</c:v>
                </c:pt>
                <c:pt idx="6">
                  <c:v>0.06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30-4692-A78E-F907986684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907520"/>
        <c:axId val="148909056"/>
      </c:barChart>
      <c:catAx>
        <c:axId val="14890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09056"/>
        <c:crosses val="autoZero"/>
        <c:auto val="1"/>
        <c:lblAlgn val="ctr"/>
        <c:lblOffset val="100"/>
        <c:noMultiLvlLbl val="0"/>
      </c:catAx>
      <c:valAx>
        <c:axId val="14890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0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Surgery- Repeat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Final MBBS Summary'!$B$32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Summary'!$A$33:$A$39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Summary'!$B$33:$B$39</c:f>
              <c:numCache>
                <c:formatCode>0%</c:formatCode>
                <c:ptCount val="7"/>
                <c:pt idx="0">
                  <c:v>0.3</c:v>
                </c:pt>
                <c:pt idx="1">
                  <c:v>0.68333333333333335</c:v>
                </c:pt>
                <c:pt idx="2">
                  <c:v>0.66666666666666663</c:v>
                </c:pt>
                <c:pt idx="3">
                  <c:v>0.52941176470588236</c:v>
                </c:pt>
                <c:pt idx="4">
                  <c:v>0.95833333333333337</c:v>
                </c:pt>
                <c:pt idx="5">
                  <c:v>0.81818181818181823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1F-402F-8284-901FF43080F7}"/>
            </c:ext>
          </c:extLst>
        </c:ser>
        <c:ser>
          <c:idx val="1"/>
          <c:order val="1"/>
          <c:tx>
            <c:strRef>
              <c:f>' Final MBBS Summary'!$C$32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Summary'!$A$33:$A$39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Summary'!$C$33:$C$39</c:f>
              <c:numCache>
                <c:formatCode>0%</c:formatCode>
                <c:ptCount val="7"/>
                <c:pt idx="0">
                  <c:v>0.7</c:v>
                </c:pt>
                <c:pt idx="1">
                  <c:v>0.31666666666666665</c:v>
                </c:pt>
                <c:pt idx="2">
                  <c:v>0.33333333333333331</c:v>
                </c:pt>
                <c:pt idx="3">
                  <c:v>0.47058823529411764</c:v>
                </c:pt>
                <c:pt idx="4">
                  <c:v>4.1666666666666664E-2</c:v>
                </c:pt>
                <c:pt idx="5">
                  <c:v>0.18181818181818182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1F-402F-8284-901FF43080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956672"/>
        <c:axId val="148958208"/>
      </c:barChart>
      <c:catAx>
        <c:axId val="14895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58208"/>
        <c:crosses val="autoZero"/>
        <c:auto val="1"/>
        <c:lblAlgn val="ctr"/>
        <c:lblOffset val="100"/>
        <c:noMultiLvlLbl val="0"/>
      </c:catAx>
      <c:valAx>
        <c:axId val="14895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5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Obs.&amp; Gyn. - Proper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Final MBBS Summary'!$B$42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Summary'!$A$43:$A$49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Summary'!$B$43:$B$49</c:f>
              <c:numCache>
                <c:formatCode>0%</c:formatCode>
                <c:ptCount val="7"/>
                <c:pt idx="0">
                  <c:v>0.93442622950819676</c:v>
                </c:pt>
                <c:pt idx="1">
                  <c:v>0</c:v>
                </c:pt>
                <c:pt idx="2">
                  <c:v>0</c:v>
                </c:pt>
                <c:pt idx="3">
                  <c:v>0.69620253164556967</c:v>
                </c:pt>
                <c:pt idx="4">
                  <c:v>0.89696969696969697</c:v>
                </c:pt>
                <c:pt idx="5">
                  <c:v>0.96226415094339623</c:v>
                </c:pt>
                <c:pt idx="6">
                  <c:v>0.93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B3-40F9-8FA0-7C3473655B1E}"/>
            </c:ext>
          </c:extLst>
        </c:ser>
        <c:ser>
          <c:idx val="1"/>
          <c:order val="1"/>
          <c:tx>
            <c:strRef>
              <c:f>' Final MBBS Summary'!$C$42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Summary'!$A$43:$A$49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Summary'!$C$43:$C$49</c:f>
              <c:numCache>
                <c:formatCode>0%</c:formatCode>
                <c:ptCount val="7"/>
                <c:pt idx="0">
                  <c:v>6.5573770491803282E-2</c:v>
                </c:pt>
                <c:pt idx="1">
                  <c:v>0</c:v>
                </c:pt>
                <c:pt idx="2">
                  <c:v>0</c:v>
                </c:pt>
                <c:pt idx="3">
                  <c:v>0.3</c:v>
                </c:pt>
                <c:pt idx="4">
                  <c:v>0.1</c:v>
                </c:pt>
                <c:pt idx="5">
                  <c:v>3.7735849056603772E-2</c:v>
                </c:pt>
                <c:pt idx="6">
                  <c:v>7.0000000000000007E-2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B3-40F9-8FA0-7C3473655B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9014016"/>
        <c:axId val="149015552"/>
      </c:barChart>
      <c:catAx>
        <c:axId val="14901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15552"/>
        <c:crosses val="autoZero"/>
        <c:auto val="1"/>
        <c:lblAlgn val="ctr"/>
        <c:lblOffset val="100"/>
        <c:noMultiLvlLbl val="0"/>
      </c:catAx>
      <c:valAx>
        <c:axId val="14901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1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Obs.&amp; Gyn. - Repeat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Final MBBS Summary'!$B$52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Summary'!$A$53:$A$59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Summary'!$B$53:$B$59</c:f>
              <c:numCache>
                <c:formatCode>0%</c:formatCode>
                <c:ptCount val="7"/>
                <c:pt idx="0">
                  <c:v>0.8</c:v>
                </c:pt>
                <c:pt idx="1">
                  <c:v>0.88</c:v>
                </c:pt>
                <c:pt idx="2">
                  <c:v>0.75</c:v>
                </c:pt>
                <c:pt idx="3">
                  <c:v>0.85365853658536583</c:v>
                </c:pt>
                <c:pt idx="4">
                  <c:v>0.77777777777777779</c:v>
                </c:pt>
                <c:pt idx="5">
                  <c:v>0.84615384615384615</c:v>
                </c:pt>
                <c:pt idx="6">
                  <c:v>0.94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B2-46E4-8C5A-7A9D3F8D7F01}"/>
            </c:ext>
          </c:extLst>
        </c:ser>
        <c:ser>
          <c:idx val="1"/>
          <c:order val="1"/>
          <c:tx>
            <c:strRef>
              <c:f>' Final MBBS Summary'!$C$52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Summary'!$A$53:$A$59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Summary'!$C$53:$C$59</c:f>
              <c:numCache>
                <c:formatCode>0%</c:formatCode>
                <c:ptCount val="7"/>
                <c:pt idx="0">
                  <c:v>0.2</c:v>
                </c:pt>
                <c:pt idx="1">
                  <c:v>0.12</c:v>
                </c:pt>
                <c:pt idx="2">
                  <c:v>0.25</c:v>
                </c:pt>
                <c:pt idx="3">
                  <c:v>0.14634146341463414</c:v>
                </c:pt>
                <c:pt idx="4">
                  <c:v>0.22222222222222221</c:v>
                </c:pt>
                <c:pt idx="5">
                  <c:v>0.15384615384615385</c:v>
                </c:pt>
                <c:pt idx="6">
                  <c:v>0.06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B2-46E4-8C5A-7A9D3F8D7F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9063168"/>
        <c:axId val="149064704"/>
      </c:barChart>
      <c:catAx>
        <c:axId val="14906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64704"/>
        <c:crosses val="autoZero"/>
        <c:auto val="1"/>
        <c:lblAlgn val="ctr"/>
        <c:lblOffset val="100"/>
        <c:noMultiLvlLbl val="0"/>
      </c:catAx>
      <c:valAx>
        <c:axId val="14906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Psychiatry - Proper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Final MBBS Summary'!$B$62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Summary'!$A$63:$A$69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Summary'!$B$63:$B$69</c:f>
              <c:numCache>
                <c:formatCode>0%</c:formatCode>
                <c:ptCount val="7"/>
                <c:pt idx="0">
                  <c:v>0.91666666666666663</c:v>
                </c:pt>
                <c:pt idx="1">
                  <c:v>0</c:v>
                </c:pt>
                <c:pt idx="2">
                  <c:v>0</c:v>
                </c:pt>
                <c:pt idx="3">
                  <c:v>0.69620253164556967</c:v>
                </c:pt>
                <c:pt idx="4">
                  <c:v>0.98148148148148151</c:v>
                </c:pt>
                <c:pt idx="5">
                  <c:v>0.98051948051948057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4B-4F39-A4BE-59831141BE35}"/>
            </c:ext>
          </c:extLst>
        </c:ser>
        <c:ser>
          <c:idx val="1"/>
          <c:order val="1"/>
          <c:tx>
            <c:strRef>
              <c:f>' Final MBBS Summary'!$C$62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Summary'!$A$63:$A$69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Summary'!$C$63:$C$69</c:f>
              <c:numCache>
                <c:formatCode>0%</c:formatCode>
                <c:ptCount val="7"/>
                <c:pt idx="0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0.30379746835443039</c:v>
                </c:pt>
                <c:pt idx="4">
                  <c:v>0.02</c:v>
                </c:pt>
                <c:pt idx="5">
                  <c:v>1.948051948051948E-2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4B-4F39-A4BE-59831141BE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9169664"/>
        <c:axId val="149171200"/>
      </c:barChart>
      <c:catAx>
        <c:axId val="14916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71200"/>
        <c:crosses val="autoZero"/>
        <c:auto val="1"/>
        <c:lblAlgn val="ctr"/>
        <c:lblOffset val="100"/>
        <c:noMultiLvlLbl val="0"/>
      </c:catAx>
      <c:valAx>
        <c:axId val="1491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6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Psychiatry - Repeat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Final MBBS Summary'!$B$72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Summary'!$A$73:$A$79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Summary'!$B$73:$B$79</c:f>
              <c:numCache>
                <c:formatCode>0%</c:formatCode>
                <c:ptCount val="7"/>
                <c:pt idx="0">
                  <c:v>0.83333333333333337</c:v>
                </c:pt>
                <c:pt idx="1">
                  <c:v>0.96296296296296291</c:v>
                </c:pt>
                <c:pt idx="2">
                  <c:v>0.66666666666666663</c:v>
                </c:pt>
                <c:pt idx="3">
                  <c:v>0.36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36-400D-81F9-2C15490F5966}"/>
            </c:ext>
          </c:extLst>
        </c:ser>
        <c:ser>
          <c:idx val="1"/>
          <c:order val="1"/>
          <c:tx>
            <c:strRef>
              <c:f>' Final MBBS Summary'!$C$72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Summary'!$A$73:$A$79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Summary'!$C$73:$C$79</c:f>
              <c:numCache>
                <c:formatCode>0%</c:formatCode>
                <c:ptCount val="7"/>
                <c:pt idx="0">
                  <c:v>0.16666666666666666</c:v>
                </c:pt>
                <c:pt idx="1">
                  <c:v>3.7037037037037035E-2</c:v>
                </c:pt>
                <c:pt idx="2">
                  <c:v>0.33333333333333331</c:v>
                </c:pt>
                <c:pt idx="3">
                  <c:v>0.64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36-400D-81F9-2C15490F59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9210624"/>
        <c:axId val="149212160"/>
      </c:barChart>
      <c:catAx>
        <c:axId val="14921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212160"/>
        <c:crosses val="autoZero"/>
        <c:auto val="1"/>
        <c:lblAlgn val="ctr"/>
        <c:lblOffset val="100"/>
        <c:noMultiLvlLbl val="0"/>
      </c:catAx>
      <c:valAx>
        <c:axId val="14921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21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Paediatrics- Proper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Final MBBS Summary'!$B$82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Summary'!$A$83:$A$89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Summary'!$B$83:$B$89</c:f>
              <c:numCache>
                <c:formatCode>0%</c:formatCode>
                <c:ptCount val="7"/>
                <c:pt idx="0">
                  <c:v>0.89344262295081966</c:v>
                </c:pt>
                <c:pt idx="1">
                  <c:v>0</c:v>
                </c:pt>
                <c:pt idx="2">
                  <c:v>0</c:v>
                </c:pt>
                <c:pt idx="3">
                  <c:v>0.69620253164556967</c:v>
                </c:pt>
                <c:pt idx="4">
                  <c:v>0.875</c:v>
                </c:pt>
                <c:pt idx="5">
                  <c:v>0.9308176100628931</c:v>
                </c:pt>
                <c:pt idx="6">
                  <c:v>0.97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3A-41E0-A447-3D213A3DB6FA}"/>
            </c:ext>
          </c:extLst>
        </c:ser>
        <c:ser>
          <c:idx val="1"/>
          <c:order val="1"/>
          <c:tx>
            <c:strRef>
              <c:f>' Final MBBS Summary'!$C$82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Summary'!$A$83:$A$89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Summary'!$C$83:$C$89</c:f>
              <c:numCache>
                <c:formatCode>0%</c:formatCode>
                <c:ptCount val="7"/>
                <c:pt idx="0">
                  <c:v>0.10655737704918032</c:v>
                </c:pt>
                <c:pt idx="1">
                  <c:v>0</c:v>
                </c:pt>
                <c:pt idx="2">
                  <c:v>0</c:v>
                </c:pt>
                <c:pt idx="3">
                  <c:v>0.30379746835443039</c:v>
                </c:pt>
                <c:pt idx="4">
                  <c:v>0.12</c:v>
                </c:pt>
                <c:pt idx="5">
                  <c:v>6.9182389937106917E-2</c:v>
                </c:pt>
                <c:pt idx="6">
                  <c:v>0.03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3A-41E0-A447-3D213A3DB6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9259776"/>
        <c:axId val="149261312"/>
      </c:barChart>
      <c:catAx>
        <c:axId val="14925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261312"/>
        <c:crosses val="autoZero"/>
        <c:auto val="1"/>
        <c:lblAlgn val="ctr"/>
        <c:lblOffset val="100"/>
        <c:noMultiLvlLbl val="0"/>
      </c:catAx>
      <c:valAx>
        <c:axId val="14926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25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Paediatrics - Repeat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Final MBBS Summary'!$B$92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Summary'!$A$93:$A$99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Summary'!$B$93:$B$99</c:f>
              <c:numCache>
                <c:formatCode>0%</c:formatCode>
                <c:ptCount val="7"/>
                <c:pt idx="0">
                  <c:v>0.83333333333333337</c:v>
                </c:pt>
                <c:pt idx="1">
                  <c:v>0.82857142857142863</c:v>
                </c:pt>
                <c:pt idx="2">
                  <c:v>0.33333333333333331</c:v>
                </c:pt>
                <c:pt idx="3">
                  <c:v>0.80555555555555558</c:v>
                </c:pt>
                <c:pt idx="4">
                  <c:v>0.81818181818181823</c:v>
                </c:pt>
                <c:pt idx="5">
                  <c:v>0.77777777777777779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C0-4E9F-AEFC-A68241332551}"/>
            </c:ext>
          </c:extLst>
        </c:ser>
        <c:ser>
          <c:idx val="1"/>
          <c:order val="1"/>
          <c:tx>
            <c:strRef>
              <c:f>' Final MBBS Summary'!$C$92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Final MBBS Summary'!$A$93:$A$99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 Final MBBS Summary'!$C$93:$C$99</c:f>
              <c:numCache>
                <c:formatCode>0%</c:formatCode>
                <c:ptCount val="7"/>
                <c:pt idx="0">
                  <c:v>0.17</c:v>
                </c:pt>
                <c:pt idx="1">
                  <c:v>0.17142857142857143</c:v>
                </c:pt>
                <c:pt idx="2">
                  <c:v>0.66666666666666663</c:v>
                </c:pt>
                <c:pt idx="3">
                  <c:v>0.19444444444444445</c:v>
                </c:pt>
                <c:pt idx="4">
                  <c:v>0.18181818181818182</c:v>
                </c:pt>
                <c:pt idx="5">
                  <c:v>0.22222222222222221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C0-4E9F-AEFC-A68241332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338176"/>
        <c:axId val="148339712"/>
      </c:barChart>
      <c:catAx>
        <c:axId val="14833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39712"/>
        <c:crosses val="autoZero"/>
        <c:auto val="1"/>
        <c:lblAlgn val="ctr"/>
        <c:lblOffset val="100"/>
        <c:noMultiLvlLbl val="0"/>
      </c:catAx>
      <c:valAx>
        <c:axId val="14833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3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Bio-chemistry - Proper Exam</a:t>
            </a:r>
          </a:p>
        </c:rich>
      </c:tx>
      <c:layout>
        <c:manualLayout>
          <c:xMode val="edge"/>
          <c:yMode val="edge"/>
          <c:x val="0.28727077865266853"/>
          <c:y val="3.703703703703704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 MBBS Summary'!$B$23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'2nd MBBS Summary'!$A$24:$A$30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'2nd MBBS Summary'!$B$24:$B$30</c:f>
              <c:numCache>
                <c:formatCode>0%</c:formatCode>
                <c:ptCount val="7"/>
                <c:pt idx="0">
                  <c:v>0.68</c:v>
                </c:pt>
                <c:pt idx="1">
                  <c:v>0</c:v>
                </c:pt>
                <c:pt idx="2">
                  <c:v>0.75</c:v>
                </c:pt>
                <c:pt idx="3">
                  <c:v>0.80625000000000002</c:v>
                </c:pt>
                <c:pt idx="4">
                  <c:v>0.71</c:v>
                </c:pt>
                <c:pt idx="5">
                  <c:v>0.71568627450980393</c:v>
                </c:pt>
                <c:pt idx="6">
                  <c:v>0.76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A4-4CDD-AA29-785329E86954}"/>
            </c:ext>
          </c:extLst>
        </c:ser>
        <c:ser>
          <c:idx val="1"/>
          <c:order val="1"/>
          <c:tx>
            <c:strRef>
              <c:f>'2nd MBBS Summary'!$C$23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'2nd MBBS Summary'!$A$24:$A$30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'2nd MBBS Summary'!$C$24:$C$30</c:f>
              <c:numCache>
                <c:formatCode>0%</c:formatCode>
                <c:ptCount val="7"/>
                <c:pt idx="0">
                  <c:v>0.32</c:v>
                </c:pt>
                <c:pt idx="1">
                  <c:v>0</c:v>
                </c:pt>
                <c:pt idx="2">
                  <c:v>0.25</c:v>
                </c:pt>
                <c:pt idx="3">
                  <c:v>0.19375000000000001</c:v>
                </c:pt>
                <c:pt idx="4">
                  <c:v>0.28999999999999998</c:v>
                </c:pt>
                <c:pt idx="5">
                  <c:v>0.28431372549019607</c:v>
                </c:pt>
                <c:pt idx="6">
                  <c:v>0.24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A4-4CDD-AA29-785329E869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7651584"/>
        <c:axId val="147657472"/>
      </c:barChart>
      <c:catAx>
        <c:axId val="14765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657472"/>
        <c:crosses val="autoZero"/>
        <c:auto val="1"/>
        <c:lblAlgn val="ctr"/>
        <c:lblOffset val="100"/>
        <c:noMultiLvlLbl val="0"/>
      </c:catAx>
      <c:valAx>
        <c:axId val="14765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65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Bio-chemistry - Repeat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 MBBS Summary'!$B$33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'2nd MBBS Summary'!$A$34:$A$41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2022(Mar/April)</c:v>
                </c:pt>
                <c:pt idx="7">
                  <c:v>2022(December)</c:v>
                </c:pt>
              </c:strCache>
            </c:strRef>
          </c:cat>
          <c:val>
            <c:numRef>
              <c:f>'2nd MBBS Summary'!$B$34:$B$41</c:f>
              <c:numCache>
                <c:formatCode>0%</c:formatCode>
                <c:ptCount val="8"/>
                <c:pt idx="0">
                  <c:v>0.17</c:v>
                </c:pt>
                <c:pt idx="1">
                  <c:v>0</c:v>
                </c:pt>
                <c:pt idx="2">
                  <c:v>1</c:v>
                </c:pt>
                <c:pt idx="3">
                  <c:v>0.82</c:v>
                </c:pt>
                <c:pt idx="4">
                  <c:v>0.85</c:v>
                </c:pt>
                <c:pt idx="5">
                  <c:v>0.95</c:v>
                </c:pt>
                <c:pt idx="6">
                  <c:v>0.91</c:v>
                </c:pt>
                <c:pt idx="7">
                  <c:v>0.73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B5-4778-B473-04BEC7AB525E}"/>
            </c:ext>
          </c:extLst>
        </c:ser>
        <c:ser>
          <c:idx val="1"/>
          <c:order val="1"/>
          <c:tx>
            <c:strRef>
              <c:f>'2nd MBBS Summary'!$C$33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'2nd MBBS Summary'!$A$34:$A$41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2022(Mar/April)</c:v>
                </c:pt>
                <c:pt idx="7">
                  <c:v>2022(December)</c:v>
                </c:pt>
              </c:strCache>
            </c:strRef>
          </c:cat>
          <c:val>
            <c:numRef>
              <c:f>'2nd MBBS Summary'!$C$34:$C$41</c:f>
              <c:numCache>
                <c:formatCode>0%</c:formatCode>
                <c:ptCount val="8"/>
                <c:pt idx="0">
                  <c:v>0.83</c:v>
                </c:pt>
                <c:pt idx="1">
                  <c:v>0</c:v>
                </c:pt>
                <c:pt idx="2">
                  <c:v>0</c:v>
                </c:pt>
                <c:pt idx="3">
                  <c:v>0.18</c:v>
                </c:pt>
                <c:pt idx="4">
                  <c:v>0.15</c:v>
                </c:pt>
                <c:pt idx="5">
                  <c:v>0.05</c:v>
                </c:pt>
                <c:pt idx="6">
                  <c:v>0.09</c:v>
                </c:pt>
                <c:pt idx="7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B5-4778-B473-04BEC7AB52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7688448"/>
        <c:axId val="147706624"/>
      </c:barChart>
      <c:catAx>
        <c:axId val="14768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706624"/>
        <c:crosses val="autoZero"/>
        <c:auto val="1"/>
        <c:lblAlgn val="ctr"/>
        <c:lblOffset val="100"/>
        <c:noMultiLvlLbl val="0"/>
      </c:catAx>
      <c:valAx>
        <c:axId val="14770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68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Physiology - Proper Exam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 MBBS Summary'!$B$44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'2nd MBBS Summary'!$A$45:$A$51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'2nd MBBS Summary'!$B$45:$B$51</c:f>
              <c:numCache>
                <c:formatCode>0%</c:formatCode>
                <c:ptCount val="7"/>
                <c:pt idx="0">
                  <c:v>0.88</c:v>
                </c:pt>
                <c:pt idx="1">
                  <c:v>0</c:v>
                </c:pt>
                <c:pt idx="2">
                  <c:v>0.85</c:v>
                </c:pt>
                <c:pt idx="3">
                  <c:v>0.85</c:v>
                </c:pt>
                <c:pt idx="4">
                  <c:v>0.74</c:v>
                </c:pt>
                <c:pt idx="5">
                  <c:v>0.85643564356435642</c:v>
                </c:pt>
                <c:pt idx="6">
                  <c:v>0.82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A5-4C8A-A162-1F5733EA6ECB}"/>
            </c:ext>
          </c:extLst>
        </c:ser>
        <c:ser>
          <c:idx val="1"/>
          <c:order val="1"/>
          <c:tx>
            <c:strRef>
              <c:f>'2nd MBBS Summary'!$C$44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'2nd MBBS Summary'!$A$45:$A$51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'2nd MBBS Summary'!$C$45:$C$51</c:f>
              <c:numCache>
                <c:formatCode>0%</c:formatCode>
                <c:ptCount val="7"/>
                <c:pt idx="0">
                  <c:v>0.12</c:v>
                </c:pt>
                <c:pt idx="1">
                  <c:v>0</c:v>
                </c:pt>
                <c:pt idx="2">
                  <c:v>0.15</c:v>
                </c:pt>
                <c:pt idx="3">
                  <c:v>0.15</c:v>
                </c:pt>
                <c:pt idx="4">
                  <c:v>0.26</c:v>
                </c:pt>
                <c:pt idx="5">
                  <c:v>0.14356435643564355</c:v>
                </c:pt>
                <c:pt idx="6">
                  <c:v>0.18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A5-4C8A-A162-1F5733EA6E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7752064"/>
        <c:axId val="147753600"/>
      </c:barChart>
      <c:catAx>
        <c:axId val="14775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753600"/>
        <c:crosses val="autoZero"/>
        <c:auto val="1"/>
        <c:lblAlgn val="ctr"/>
        <c:lblOffset val="100"/>
        <c:noMultiLvlLbl val="0"/>
      </c:catAx>
      <c:valAx>
        <c:axId val="14775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75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Physiology- Repeat Exam</a:t>
            </a:r>
          </a:p>
        </c:rich>
      </c:tx>
      <c:layout>
        <c:manualLayout>
          <c:xMode val="edge"/>
          <c:yMode val="edge"/>
          <c:x val="0.35393744531933524"/>
          <c:y val="2.77777777777778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 MBBS Summary'!$B$54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'2nd MBBS Summary'!$A$55:$A$62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2022(Mar/April)</c:v>
                </c:pt>
                <c:pt idx="7">
                  <c:v>2022(December)</c:v>
                </c:pt>
              </c:strCache>
            </c:strRef>
          </c:cat>
          <c:val>
            <c:numRef>
              <c:f>'2nd MBBS Summary'!$B$55:$B$62</c:f>
              <c:numCache>
                <c:formatCode>General</c:formatCode>
                <c:ptCount val="8"/>
                <c:pt idx="0" formatCode="0%">
                  <c:v>0.79</c:v>
                </c:pt>
                <c:pt idx="1">
                  <c:v>0</c:v>
                </c:pt>
                <c:pt idx="2" formatCode="0%">
                  <c:v>1</c:v>
                </c:pt>
                <c:pt idx="3" formatCode="0%">
                  <c:v>0.8</c:v>
                </c:pt>
                <c:pt idx="4" formatCode="0%">
                  <c:v>0.96</c:v>
                </c:pt>
                <c:pt idx="5" formatCode="0%">
                  <c:v>1</c:v>
                </c:pt>
                <c:pt idx="6" formatCode="0%">
                  <c:v>0.97</c:v>
                </c:pt>
                <c:pt idx="7" formatCode="0%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3A-4F21-905E-9C20118E84B4}"/>
            </c:ext>
          </c:extLst>
        </c:ser>
        <c:ser>
          <c:idx val="1"/>
          <c:order val="1"/>
          <c:tx>
            <c:strRef>
              <c:f>'2nd MBBS Summary'!$C$54</c:f>
              <c:strCache>
                <c:ptCount val="1"/>
                <c:pt idx="0">
                  <c:v>Failure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'2nd MBBS Summary'!$A$55:$A$62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2022(Mar/April)</c:v>
                </c:pt>
                <c:pt idx="7">
                  <c:v>2022(December)</c:v>
                </c:pt>
              </c:strCache>
            </c:strRef>
          </c:cat>
          <c:val>
            <c:numRef>
              <c:f>'2nd MBBS Summary'!$C$55:$C$62</c:f>
              <c:numCache>
                <c:formatCode>General</c:formatCode>
                <c:ptCount val="8"/>
                <c:pt idx="0" formatCode="0%">
                  <c:v>0.21</c:v>
                </c:pt>
                <c:pt idx="1">
                  <c:v>0</c:v>
                </c:pt>
                <c:pt idx="2">
                  <c:v>0</c:v>
                </c:pt>
                <c:pt idx="3" formatCode="0%">
                  <c:v>0.2</c:v>
                </c:pt>
                <c:pt idx="4" formatCode="0%">
                  <c:v>0.04</c:v>
                </c:pt>
                <c:pt idx="5" formatCode="0%">
                  <c:v>0</c:v>
                </c:pt>
                <c:pt idx="6" formatCode="0%">
                  <c:v>0.03</c:v>
                </c:pt>
                <c:pt idx="7" formatCode="0%">
                  <c:v>0.14000000000000001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3A-4F21-905E-9C20118E84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7405824"/>
        <c:axId val="147419904"/>
      </c:barChart>
      <c:catAx>
        <c:axId val="14740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419904"/>
        <c:crosses val="autoZero"/>
        <c:auto val="1"/>
        <c:lblAlgn val="ctr"/>
        <c:lblOffset val="100"/>
        <c:noMultiLvlLbl val="0"/>
      </c:catAx>
      <c:valAx>
        <c:axId val="14741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40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Microbiology - Proper Exam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921006014039829E-2"/>
          <c:y val="0.16833442103344418"/>
          <c:w val="0.87515165199771161"/>
          <c:h val="0.635823836027083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MBBS (Part I) Summary'!$B$2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'3rd MBBS (Part I) Summary'!$A$3:$A$9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'3rd MBBS (Part I) Summary'!$B$3:$B$9</c:f>
              <c:numCache>
                <c:formatCode>0%</c:formatCode>
                <c:ptCount val="7"/>
                <c:pt idx="0">
                  <c:v>0.87116564417177911</c:v>
                </c:pt>
                <c:pt idx="1">
                  <c:v>0</c:v>
                </c:pt>
                <c:pt idx="2">
                  <c:v>0.83950617283950613</c:v>
                </c:pt>
                <c:pt idx="3">
                  <c:v>0.9526627218934911</c:v>
                </c:pt>
                <c:pt idx="4">
                  <c:v>0.86538461538461542</c:v>
                </c:pt>
                <c:pt idx="5">
                  <c:v>0.84571428571428575</c:v>
                </c:pt>
                <c:pt idx="6">
                  <c:v>0.93</c:v>
                </c:pt>
              </c:numCache>
            </c:numRef>
          </c:val>
        </c:ser>
        <c:ser>
          <c:idx val="1"/>
          <c:order val="1"/>
          <c:tx>
            <c:strRef>
              <c:f>'3rd MBBS (Part I) Summary'!$C$2</c:f>
              <c:strCache>
                <c:ptCount val="1"/>
                <c:pt idx="0">
                  <c:v>Failure Rate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'3rd MBBS (Part I) Summary'!$A$3:$A$9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'3rd MBBS (Part I) Summary'!$C$3:$C$9</c:f>
              <c:numCache>
                <c:formatCode>0%</c:formatCode>
                <c:ptCount val="7"/>
                <c:pt idx="0">
                  <c:v>0.12883435582822086</c:v>
                </c:pt>
                <c:pt idx="1">
                  <c:v>0</c:v>
                </c:pt>
                <c:pt idx="2">
                  <c:v>0.16049382716049382</c:v>
                </c:pt>
                <c:pt idx="3">
                  <c:v>4.7337278106508875E-2</c:v>
                </c:pt>
                <c:pt idx="4">
                  <c:v>0.13461538461538461</c:v>
                </c:pt>
                <c:pt idx="5">
                  <c:v>0.15428571428571428</c:v>
                </c:pt>
                <c:pt idx="6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32032"/>
        <c:axId val="147537920"/>
      </c:barChart>
      <c:catAx>
        <c:axId val="14753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537920"/>
        <c:crosses val="autoZero"/>
        <c:auto val="1"/>
        <c:lblAlgn val="ctr"/>
        <c:lblOffset val="100"/>
        <c:noMultiLvlLbl val="0"/>
      </c:catAx>
      <c:valAx>
        <c:axId val="1475379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75320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116299728229865"/>
          <c:y val="0.94376732685631515"/>
          <c:w val="0.32403805543823772"/>
          <c:h val="5.623267904472541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Microbiology - Repeat Exam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 MBBS (Part I) Summary'!$B$12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'3rd MBBS (Part I) Summary'!$A$13:$A$19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'3rd MBBS (Part I) Summary'!$B$13:$B$19</c:f>
              <c:numCache>
                <c:formatCode>0%</c:formatCode>
                <c:ptCount val="7"/>
                <c:pt idx="0">
                  <c:v>0.93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0.88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'3rd MBBS (Part I) Summary'!$C$12</c:f>
              <c:strCache>
                <c:ptCount val="1"/>
                <c:pt idx="0">
                  <c:v>Failure Rate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'3rd MBBS (Part I) Summary'!$A$13:$A$19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'3rd MBBS (Part I) Summary'!$C$13:$C$19</c:f>
              <c:numCache>
                <c:formatCode>0%</c:formatCode>
                <c:ptCount val="7"/>
                <c:pt idx="0">
                  <c:v>7.0000000000000007E-2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72224"/>
        <c:axId val="147573760"/>
      </c:barChart>
      <c:catAx>
        <c:axId val="14757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573760"/>
        <c:crosses val="autoZero"/>
        <c:auto val="1"/>
        <c:lblAlgn val="ctr"/>
        <c:lblOffset val="100"/>
        <c:noMultiLvlLbl val="0"/>
      </c:catAx>
      <c:valAx>
        <c:axId val="1475737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75722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Parasitology - Proper Exam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 MBBS (Part I) Summary'!$B$22</c:f>
              <c:strCache>
                <c:ptCount val="1"/>
                <c:pt idx="0">
                  <c:v>Pass Rate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'3rd MBBS (Part I) Summary'!$A$23:$A$29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'3rd MBBS (Part I) Summary'!$B$23:$B$29</c:f>
              <c:numCache>
                <c:formatCode>0%</c:formatCode>
                <c:ptCount val="7"/>
                <c:pt idx="0">
                  <c:v>0.73988439306358378</c:v>
                </c:pt>
                <c:pt idx="1">
                  <c:v>0</c:v>
                </c:pt>
                <c:pt idx="2">
                  <c:v>0.77456647398843925</c:v>
                </c:pt>
                <c:pt idx="3">
                  <c:v>0.98224852071005919</c:v>
                </c:pt>
                <c:pt idx="4">
                  <c:v>0.8141025641025641</c:v>
                </c:pt>
                <c:pt idx="5">
                  <c:v>0.97142857142857142</c:v>
                </c:pt>
                <c:pt idx="6">
                  <c:v>0.97</c:v>
                </c:pt>
              </c:numCache>
            </c:numRef>
          </c:val>
        </c:ser>
        <c:ser>
          <c:idx val="1"/>
          <c:order val="1"/>
          <c:tx>
            <c:strRef>
              <c:f>'3rd MBBS (Part I) Summary'!$C$22</c:f>
              <c:strCache>
                <c:ptCount val="1"/>
                <c:pt idx="0">
                  <c:v>Failure Rate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'3rd MBBS (Part I) Summary'!$A$23:$A$29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'3rd MBBS (Part I) Summary'!$C$23:$C$29</c:f>
              <c:numCache>
                <c:formatCode>0%</c:formatCode>
                <c:ptCount val="7"/>
                <c:pt idx="0">
                  <c:v>0.26011560693641617</c:v>
                </c:pt>
                <c:pt idx="1">
                  <c:v>0</c:v>
                </c:pt>
                <c:pt idx="2">
                  <c:v>0.22543352601156069</c:v>
                </c:pt>
                <c:pt idx="3">
                  <c:v>1.7751479289940829E-2</c:v>
                </c:pt>
                <c:pt idx="4">
                  <c:v>0.1858974358974359</c:v>
                </c:pt>
                <c:pt idx="5">
                  <c:v>2.8571428571428571E-2</c:v>
                </c:pt>
                <c:pt idx="6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75264"/>
        <c:axId val="148076800"/>
      </c:barChart>
      <c:catAx>
        <c:axId val="14807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076800"/>
        <c:crosses val="autoZero"/>
        <c:auto val="1"/>
        <c:lblAlgn val="ctr"/>
        <c:lblOffset val="100"/>
        <c:noMultiLvlLbl val="0"/>
      </c:catAx>
      <c:valAx>
        <c:axId val="1480768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80752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30480</xdr:rowOff>
    </xdr:from>
    <xdr:to>
      <xdr:col>23</xdr:col>
      <xdr:colOff>7620</xdr:colOff>
      <xdr:row>52</xdr:row>
      <xdr:rowOff>114300</xdr:rowOff>
    </xdr:to>
    <xdr:sp macro="" textlink="">
      <xdr:nvSpPr>
        <xdr:cNvPr id="2" name="TextBox 1"/>
        <xdr:cNvSpPr txBox="1"/>
      </xdr:nvSpPr>
      <xdr:spPr>
        <a:xfrm>
          <a:off x="15240" y="30480"/>
          <a:ext cx="14013180" cy="9593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pPr algn="ctr"/>
          <a:r>
            <a:rPr lang="en-US" sz="2000" b="1"/>
            <a:t>First uploaded</a:t>
          </a:r>
          <a:r>
            <a:rPr lang="en-US" sz="2000" b="1" baseline="0"/>
            <a:t> on January 2021</a:t>
          </a:r>
        </a:p>
        <a:p>
          <a:pPr algn="ctr"/>
          <a:endParaRPr lang="en-US" sz="2000" b="1"/>
        </a:p>
        <a:p>
          <a:pPr algn="ctr"/>
          <a:r>
            <a:rPr lang="en-US" sz="2000" b="1"/>
            <a:t>Updated</a:t>
          </a:r>
          <a:r>
            <a:rPr lang="en-US" sz="2000" b="1" baseline="0"/>
            <a:t> on </a:t>
          </a:r>
          <a:r>
            <a:rPr lang="en-US" sz="2000" b="1"/>
            <a:t>February</a:t>
          </a:r>
          <a:r>
            <a:rPr lang="en-US" sz="2000" b="1" baseline="0"/>
            <a:t> 2022</a:t>
          </a:r>
        </a:p>
        <a:p>
          <a:pPr marL="0" indent="0" algn="ctr"/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Updated on May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616429</xdr:colOff>
      <xdr:row>1</xdr:row>
      <xdr:rowOff>7728</xdr:rowOff>
    </xdr:from>
    <xdr:to>
      <xdr:col>11</xdr:col>
      <xdr:colOff>291141</xdr:colOff>
      <xdr:row>19</xdr:row>
      <xdr:rowOff>109088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6462</xdr:colOff>
      <xdr:row>1</xdr:row>
      <xdr:rowOff>7727</xdr:rowOff>
    </xdr:from>
    <xdr:to>
      <xdr:col>18</xdr:col>
      <xdr:colOff>540606</xdr:colOff>
      <xdr:row>19</xdr:row>
      <xdr:rowOff>109087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22</xdr:row>
      <xdr:rowOff>180707</xdr:rowOff>
    </xdr:from>
    <xdr:to>
      <xdr:col>11</xdr:col>
      <xdr:colOff>321468</xdr:colOff>
      <xdr:row>42</xdr:row>
      <xdr:rowOff>62519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2187</xdr:colOff>
      <xdr:row>22</xdr:row>
      <xdr:rowOff>192046</xdr:rowOff>
    </xdr:from>
    <xdr:to>
      <xdr:col>18</xdr:col>
      <xdr:colOff>561780</xdr:colOff>
      <xdr:row>42</xdr:row>
      <xdr:rowOff>73858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603979</xdr:colOff>
      <xdr:row>44</xdr:row>
      <xdr:rowOff>8998</xdr:rowOff>
    </xdr:from>
    <xdr:to>
      <xdr:col>11</xdr:col>
      <xdr:colOff>304703</xdr:colOff>
      <xdr:row>62</xdr:row>
      <xdr:rowOff>83578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44</xdr:row>
      <xdr:rowOff>14912</xdr:rowOff>
    </xdr:from>
    <xdr:to>
      <xdr:col>18</xdr:col>
      <xdr:colOff>559594</xdr:colOff>
      <xdr:row>62</xdr:row>
      <xdr:rowOff>91112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34247</xdr:colOff>
      <xdr:row>1</xdr:row>
      <xdr:rowOff>8561</xdr:rowOff>
    </xdr:from>
    <xdr:to>
      <xdr:col>12</xdr:col>
      <xdr:colOff>299664</xdr:colOff>
      <xdr:row>17</xdr:row>
      <xdr:rowOff>171236</xdr:rowOff>
    </xdr:to>
    <xdr:graphicFrame macro="">
      <xdr:nvGraphicFramePr>
        <xdr:cNvPr id="5" name="Chart 4" title="Microbiology - Proper Ex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25684</xdr:colOff>
      <xdr:row>0</xdr:row>
      <xdr:rowOff>179798</xdr:rowOff>
    </xdr:from>
    <xdr:to>
      <xdr:col>21</xdr:col>
      <xdr:colOff>85618</xdr:colOff>
      <xdr:row>17</xdr:row>
      <xdr:rowOff>145551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25685</xdr:colOff>
      <xdr:row>20</xdr:row>
      <xdr:rowOff>179798</xdr:rowOff>
    </xdr:from>
    <xdr:to>
      <xdr:col>12</xdr:col>
      <xdr:colOff>145551</xdr:colOff>
      <xdr:row>37</xdr:row>
      <xdr:rowOff>102740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25683</xdr:colOff>
      <xdr:row>21</xdr:row>
      <xdr:rowOff>17123</xdr:rowOff>
    </xdr:from>
    <xdr:to>
      <xdr:col>21</xdr:col>
      <xdr:colOff>111304</xdr:colOff>
      <xdr:row>37</xdr:row>
      <xdr:rowOff>111303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557980</xdr:colOff>
      <xdr:row>43</xdr:row>
      <xdr:rowOff>39971</xdr:rowOff>
    </xdr:from>
    <xdr:to>
      <xdr:col>20</xdr:col>
      <xdr:colOff>214044</xdr:colOff>
      <xdr:row>60</xdr:row>
      <xdr:rowOff>119864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43</xdr:row>
      <xdr:rowOff>14788</xdr:rowOff>
    </xdr:from>
    <xdr:to>
      <xdr:col>11</xdr:col>
      <xdr:colOff>547955</xdr:colOff>
      <xdr:row>60</xdr:row>
      <xdr:rowOff>102742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772527</xdr:colOff>
      <xdr:row>64</xdr:row>
      <xdr:rowOff>14788</xdr:rowOff>
    </xdr:from>
    <xdr:to>
      <xdr:col>11</xdr:col>
      <xdr:colOff>547955</xdr:colOff>
      <xdr:row>83</xdr:row>
      <xdr:rowOff>17124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601832</xdr:colOff>
      <xdr:row>64</xdr:row>
      <xdr:rowOff>13036</xdr:rowOff>
    </xdr:from>
    <xdr:to>
      <xdr:col>20</xdr:col>
      <xdr:colOff>205482</xdr:colOff>
      <xdr:row>82</xdr:row>
      <xdr:rowOff>162674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779126</xdr:colOff>
      <xdr:row>0</xdr:row>
      <xdr:rowOff>0</xdr:rowOff>
    </xdr:from>
    <xdr:to>
      <xdr:col>12</xdr:col>
      <xdr:colOff>8563</xdr:colOff>
      <xdr:row>18</xdr:row>
      <xdr:rowOff>108734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505144</xdr:colOff>
      <xdr:row>0</xdr:row>
      <xdr:rowOff>0</xdr:rowOff>
    </xdr:from>
    <xdr:to>
      <xdr:col>20</xdr:col>
      <xdr:colOff>265416</xdr:colOff>
      <xdr:row>18</xdr:row>
      <xdr:rowOff>111304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17123</xdr:colOff>
      <xdr:row>22</xdr:row>
      <xdr:rowOff>165242</xdr:rowOff>
    </xdr:from>
    <xdr:to>
      <xdr:col>11</xdr:col>
      <xdr:colOff>565079</xdr:colOff>
      <xdr:row>40</xdr:row>
      <xdr:rowOff>162674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522269</xdr:colOff>
      <xdr:row>23</xdr:row>
      <xdr:rowOff>19691</xdr:rowOff>
    </xdr:from>
    <xdr:to>
      <xdr:col>20</xdr:col>
      <xdr:colOff>196921</xdr:colOff>
      <xdr:row>40</xdr:row>
      <xdr:rowOff>154112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1</xdr:row>
      <xdr:rowOff>14287</xdr:rowOff>
    </xdr:from>
    <xdr:to>
      <xdr:col>11</xdr:col>
      <xdr:colOff>295275</xdr:colOff>
      <xdr:row>18</xdr:row>
      <xdr:rowOff>90487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9524</xdr:colOff>
      <xdr:row>1</xdr:row>
      <xdr:rowOff>4762</xdr:rowOff>
    </xdr:from>
    <xdr:to>
      <xdr:col>18</xdr:col>
      <xdr:colOff>314325</xdr:colOff>
      <xdr:row>18</xdr:row>
      <xdr:rowOff>80962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14287</xdr:rowOff>
    </xdr:from>
    <xdr:to>
      <xdr:col>11</xdr:col>
      <xdr:colOff>304800</xdr:colOff>
      <xdr:row>38</xdr:row>
      <xdr:rowOff>90487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600076</xdr:colOff>
      <xdr:row>21</xdr:row>
      <xdr:rowOff>4762</xdr:rowOff>
    </xdr:from>
    <xdr:to>
      <xdr:col>18</xdr:col>
      <xdr:colOff>295276</xdr:colOff>
      <xdr:row>38</xdr:row>
      <xdr:rowOff>80962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11848</xdr:colOff>
      <xdr:row>40</xdr:row>
      <xdr:rowOff>176908</xdr:rowOff>
    </xdr:from>
    <xdr:to>
      <xdr:col>11</xdr:col>
      <xdr:colOff>311072</xdr:colOff>
      <xdr:row>58</xdr:row>
      <xdr:rowOff>67255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600076</xdr:colOff>
      <xdr:row>40</xdr:row>
      <xdr:rowOff>178999</xdr:rowOff>
    </xdr:from>
    <xdr:to>
      <xdr:col>18</xdr:col>
      <xdr:colOff>295276</xdr:colOff>
      <xdr:row>58</xdr:row>
      <xdr:rowOff>69346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590318</xdr:colOff>
      <xdr:row>60</xdr:row>
      <xdr:rowOff>178999</xdr:rowOff>
    </xdr:from>
    <xdr:to>
      <xdr:col>11</xdr:col>
      <xdr:colOff>291094</xdr:colOff>
      <xdr:row>78</xdr:row>
      <xdr:rowOff>69346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600075</xdr:colOff>
      <xdr:row>60</xdr:row>
      <xdr:rowOff>176909</xdr:rowOff>
    </xdr:from>
    <xdr:to>
      <xdr:col>18</xdr:col>
      <xdr:colOff>295275</xdr:colOff>
      <xdr:row>78</xdr:row>
      <xdr:rowOff>67256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7667</xdr:colOff>
      <xdr:row>81</xdr:row>
      <xdr:rowOff>14287</xdr:rowOff>
    </xdr:from>
    <xdr:to>
      <xdr:col>11</xdr:col>
      <xdr:colOff>306891</xdr:colOff>
      <xdr:row>98</xdr:row>
      <xdr:rowOff>90486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11615</xdr:colOff>
      <xdr:row>81</xdr:row>
      <xdr:rowOff>16379</xdr:rowOff>
    </xdr:from>
    <xdr:to>
      <xdr:col>18</xdr:col>
      <xdr:colOff>316416</xdr:colOff>
      <xdr:row>98</xdr:row>
      <xdr:rowOff>92578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27" sqref="W27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3"/>
  <sheetViews>
    <sheetView topLeftCell="A20" workbookViewId="0">
      <selection activeCell="D8" sqref="D8"/>
    </sheetView>
  </sheetViews>
  <sheetFormatPr defaultRowHeight="14.4" x14ac:dyDescent="0.3"/>
  <cols>
    <col min="1" max="1" width="5.6640625" customWidth="1"/>
    <col min="2" max="2" width="19.88671875" customWidth="1"/>
    <col min="3" max="3" width="15.33203125" customWidth="1"/>
    <col min="4" max="4" width="11.5546875" customWidth="1"/>
    <col min="5" max="5" width="12" customWidth="1"/>
    <col min="6" max="6" width="12.109375" customWidth="1"/>
    <col min="7" max="7" width="12.88671875" customWidth="1"/>
    <col min="8" max="8" width="13.109375" customWidth="1"/>
    <col min="9" max="9" width="12.5546875" customWidth="1"/>
    <col min="10" max="10" width="13.5546875" customWidth="1"/>
  </cols>
  <sheetData>
    <row r="2" spans="2:10" ht="19.5" thickBot="1" x14ac:dyDescent="0.35">
      <c r="B2" s="13" t="s">
        <v>40</v>
      </c>
    </row>
    <row r="3" spans="2:10" ht="90.75" thickBot="1" x14ac:dyDescent="0.3">
      <c r="B3" s="1">
        <f>'2018'!E350</f>
        <v>0</v>
      </c>
      <c r="C3" s="2" t="s">
        <v>1</v>
      </c>
      <c r="D3" s="2" t="s">
        <v>2</v>
      </c>
      <c r="E3" s="2" t="s">
        <v>3</v>
      </c>
      <c r="F3" s="2" t="s">
        <v>22</v>
      </c>
      <c r="G3" s="2" t="s">
        <v>4</v>
      </c>
      <c r="H3" s="2" t="s">
        <v>5</v>
      </c>
      <c r="I3" s="2" t="s">
        <v>6</v>
      </c>
      <c r="J3" s="2" t="s">
        <v>7</v>
      </c>
    </row>
    <row r="4" spans="2:10" ht="15.75" thickBot="1" x14ac:dyDescent="0.3">
      <c r="B4" s="5" t="s">
        <v>23</v>
      </c>
      <c r="C4" s="16">
        <v>43221</v>
      </c>
      <c r="D4" s="3">
        <v>171</v>
      </c>
      <c r="E4" s="3">
        <v>119</v>
      </c>
      <c r="F4" s="3">
        <v>52</v>
      </c>
      <c r="G4" s="15"/>
      <c r="H4" s="3">
        <v>8</v>
      </c>
      <c r="I4" s="3">
        <v>22</v>
      </c>
      <c r="J4" s="3">
        <v>27</v>
      </c>
    </row>
    <row r="5" spans="2:10" ht="15.75" thickBot="1" x14ac:dyDescent="0.3">
      <c r="B5" s="6" t="s">
        <v>8</v>
      </c>
      <c r="C5" s="14"/>
      <c r="D5" s="4">
        <v>166</v>
      </c>
      <c r="E5" s="4">
        <v>131</v>
      </c>
      <c r="F5" s="4">
        <v>35</v>
      </c>
      <c r="G5" s="4">
        <v>10</v>
      </c>
      <c r="H5" s="14"/>
      <c r="I5" s="14"/>
      <c r="J5" s="14"/>
    </row>
    <row r="6" spans="2:10" ht="15.75" thickBot="1" x14ac:dyDescent="0.3">
      <c r="B6" s="6" t="s">
        <v>9</v>
      </c>
      <c r="C6" s="14"/>
      <c r="D6" s="4">
        <v>156</v>
      </c>
      <c r="E6" s="25">
        <v>117</v>
      </c>
      <c r="F6" s="4">
        <v>39</v>
      </c>
      <c r="G6" s="4">
        <v>3</v>
      </c>
      <c r="H6" s="14"/>
      <c r="I6" s="14"/>
      <c r="J6" s="14"/>
    </row>
    <row r="7" spans="2:10" ht="15.75" thickBot="1" x14ac:dyDescent="0.3">
      <c r="B7" s="6" t="s">
        <v>10</v>
      </c>
      <c r="C7" s="14"/>
      <c r="D7" s="4">
        <v>151</v>
      </c>
      <c r="E7" s="25">
        <v>128</v>
      </c>
      <c r="F7" s="4">
        <v>23</v>
      </c>
      <c r="G7" s="4">
        <v>19</v>
      </c>
      <c r="H7" s="14"/>
      <c r="I7" s="14"/>
      <c r="J7" s="14"/>
    </row>
    <row r="8" spans="2:10" ht="15.75" thickBot="1" x14ac:dyDescent="0.3">
      <c r="B8" s="5" t="s">
        <v>24</v>
      </c>
      <c r="C8" s="16">
        <v>43374</v>
      </c>
      <c r="D8" s="3">
        <v>50</v>
      </c>
      <c r="E8" s="3">
        <v>50</v>
      </c>
      <c r="F8" s="3"/>
      <c r="G8" s="15"/>
      <c r="H8" s="3"/>
      <c r="I8" s="3"/>
      <c r="J8" s="3"/>
    </row>
    <row r="9" spans="2:10" ht="15.75" thickBot="1" x14ac:dyDescent="0.3">
      <c r="B9" s="6" t="s">
        <v>8</v>
      </c>
      <c r="C9" s="14"/>
      <c r="D9" s="4">
        <v>34</v>
      </c>
      <c r="E9" s="4">
        <v>34</v>
      </c>
      <c r="F9" s="4">
        <v>0</v>
      </c>
      <c r="G9" s="4"/>
      <c r="H9" s="14"/>
      <c r="I9" s="14"/>
      <c r="J9" s="14"/>
    </row>
    <row r="10" spans="2:10" ht="15.75" thickBot="1" x14ac:dyDescent="0.3">
      <c r="B10" s="6" t="s">
        <v>9</v>
      </c>
      <c r="C10" s="14"/>
      <c r="D10" s="4">
        <v>37</v>
      </c>
      <c r="E10" s="4">
        <v>37</v>
      </c>
      <c r="F10" s="4">
        <v>0</v>
      </c>
      <c r="G10" s="4"/>
      <c r="H10" s="14"/>
      <c r="I10" s="14"/>
      <c r="J10" s="14"/>
    </row>
    <row r="11" spans="2:10" ht="15.75" thickBot="1" x14ac:dyDescent="0.3">
      <c r="B11" s="6" t="s">
        <v>10</v>
      </c>
      <c r="C11" s="14"/>
      <c r="D11" s="4">
        <v>23</v>
      </c>
      <c r="E11" s="4">
        <v>23</v>
      </c>
      <c r="F11" s="4">
        <v>0</v>
      </c>
      <c r="G11" s="4"/>
      <c r="H11" s="14"/>
      <c r="I11" s="14"/>
      <c r="J11" s="14"/>
    </row>
    <row r="12" spans="2:10" ht="15" thickBot="1" x14ac:dyDescent="0.35">
      <c r="B12" s="7" t="s">
        <v>26</v>
      </c>
      <c r="C12" s="19">
        <v>43282</v>
      </c>
      <c r="D12" s="20">
        <v>173</v>
      </c>
      <c r="E12" s="20">
        <v>127</v>
      </c>
      <c r="F12" s="20">
        <v>46</v>
      </c>
      <c r="G12" s="24"/>
      <c r="H12" s="24"/>
      <c r="I12" s="24"/>
      <c r="J12" s="24"/>
    </row>
    <row r="13" spans="2:10" ht="15.75" thickBot="1" x14ac:dyDescent="0.3">
      <c r="B13" s="8" t="s">
        <v>11</v>
      </c>
      <c r="C13" s="14"/>
      <c r="D13" s="4">
        <v>162</v>
      </c>
      <c r="E13" s="4">
        <v>136</v>
      </c>
      <c r="F13" s="4">
        <v>26</v>
      </c>
      <c r="G13" s="4">
        <v>3</v>
      </c>
      <c r="H13" s="14"/>
      <c r="I13" s="14"/>
      <c r="J13" s="14"/>
    </row>
    <row r="14" spans="2:10" ht="15.75" thickBot="1" x14ac:dyDescent="0.3">
      <c r="B14" s="8" t="s">
        <v>12</v>
      </c>
      <c r="C14" s="14"/>
      <c r="D14" s="4">
        <v>173</v>
      </c>
      <c r="E14" s="4">
        <v>134</v>
      </c>
      <c r="F14" s="4">
        <v>39</v>
      </c>
      <c r="G14" s="4">
        <v>22</v>
      </c>
      <c r="H14" s="14"/>
      <c r="I14" s="14"/>
      <c r="J14" s="14"/>
    </row>
    <row r="15" spans="2:10" ht="15" thickBot="1" x14ac:dyDescent="0.35">
      <c r="B15" s="7" t="s">
        <v>27</v>
      </c>
      <c r="C15" s="19">
        <v>43374</v>
      </c>
      <c r="D15" s="20">
        <v>46</v>
      </c>
      <c r="E15" s="20">
        <v>46</v>
      </c>
      <c r="F15" s="20"/>
      <c r="G15" s="14"/>
      <c r="H15" s="4"/>
      <c r="I15" s="4"/>
      <c r="J15" s="4"/>
    </row>
    <row r="16" spans="2:10" ht="15.75" thickBot="1" x14ac:dyDescent="0.3">
      <c r="B16" s="8" t="s">
        <v>11</v>
      </c>
      <c r="C16" s="14"/>
      <c r="D16" s="4">
        <v>26</v>
      </c>
      <c r="E16" s="4">
        <v>26</v>
      </c>
      <c r="F16" s="4"/>
      <c r="G16" s="4"/>
      <c r="H16" s="14"/>
      <c r="I16" s="14"/>
      <c r="J16" s="14"/>
    </row>
    <row r="17" spans="2:10" ht="15.75" thickBot="1" x14ac:dyDescent="0.3">
      <c r="B17" s="8" t="s">
        <v>12</v>
      </c>
      <c r="C17" s="14"/>
      <c r="D17" s="4">
        <v>39</v>
      </c>
      <c r="E17" s="4">
        <v>39</v>
      </c>
      <c r="F17" s="4"/>
      <c r="G17" s="4"/>
      <c r="H17" s="14"/>
      <c r="I17" s="14"/>
      <c r="J17" s="14"/>
    </row>
    <row r="18" spans="2:10" ht="15" thickBot="1" x14ac:dyDescent="0.35">
      <c r="B18" s="9" t="s">
        <v>28</v>
      </c>
      <c r="C18" s="19">
        <v>43374</v>
      </c>
      <c r="D18" s="20">
        <v>64</v>
      </c>
      <c r="E18" s="20">
        <v>60</v>
      </c>
      <c r="F18" s="20">
        <v>4</v>
      </c>
      <c r="G18" s="14"/>
      <c r="H18" s="4"/>
      <c r="I18" s="4"/>
      <c r="J18" s="4"/>
    </row>
    <row r="19" spans="2:10" ht="15.75" thickBot="1" x14ac:dyDescent="0.3">
      <c r="B19" s="10" t="s">
        <v>13</v>
      </c>
      <c r="C19" s="14"/>
      <c r="D19" s="4">
        <v>27</v>
      </c>
      <c r="E19" s="4">
        <v>26</v>
      </c>
      <c r="F19" s="4">
        <v>1</v>
      </c>
      <c r="G19" s="4"/>
      <c r="H19" s="14"/>
      <c r="I19" s="14"/>
      <c r="J19" s="14"/>
    </row>
    <row r="20" spans="2:10" ht="15.75" thickBot="1" x14ac:dyDescent="0.3">
      <c r="B20" s="10" t="s">
        <v>14</v>
      </c>
      <c r="C20" s="14"/>
      <c r="D20" s="4">
        <v>24</v>
      </c>
      <c r="E20" s="4">
        <v>22</v>
      </c>
      <c r="F20" s="4">
        <v>2</v>
      </c>
      <c r="G20" s="4"/>
      <c r="H20" s="14"/>
      <c r="I20" s="14"/>
      <c r="J20" s="14"/>
    </row>
    <row r="21" spans="2:10" ht="15.75" thickBot="1" x14ac:dyDescent="0.3">
      <c r="B21" s="10" t="s">
        <v>15</v>
      </c>
      <c r="C21" s="14"/>
      <c r="D21" s="4">
        <v>49</v>
      </c>
      <c r="E21" s="4">
        <v>46</v>
      </c>
      <c r="F21" s="4">
        <v>3</v>
      </c>
      <c r="G21" s="4"/>
      <c r="H21" s="14"/>
      <c r="I21" s="14"/>
      <c r="J21" s="14"/>
    </row>
    <row r="22" spans="2:10" ht="15.75" thickBot="1" x14ac:dyDescent="0.3">
      <c r="B22" s="10" t="s">
        <v>16</v>
      </c>
      <c r="C22" s="14"/>
      <c r="D22" s="4">
        <v>25</v>
      </c>
      <c r="E22" s="4">
        <v>23</v>
      </c>
      <c r="F22" s="4">
        <v>2</v>
      </c>
      <c r="G22" s="4"/>
      <c r="H22" s="14"/>
      <c r="I22" s="14"/>
      <c r="J22" s="14"/>
    </row>
    <row r="23" spans="2:10" ht="15" thickBot="1" x14ac:dyDescent="0.35">
      <c r="B23" s="9" t="s">
        <v>43</v>
      </c>
      <c r="C23" s="19">
        <v>43282</v>
      </c>
      <c r="D23" s="20">
        <v>182</v>
      </c>
      <c r="E23" s="20">
        <v>118</v>
      </c>
      <c r="F23" s="20">
        <v>64</v>
      </c>
      <c r="G23" s="14"/>
      <c r="H23" s="20">
        <v>2</v>
      </c>
      <c r="I23" s="20">
        <v>17</v>
      </c>
      <c r="J23" s="20">
        <v>42</v>
      </c>
    </row>
    <row r="24" spans="2:10" ht="15.75" thickBot="1" x14ac:dyDescent="0.3">
      <c r="B24" s="10" t="s">
        <v>13</v>
      </c>
      <c r="C24" s="14"/>
      <c r="D24" s="4">
        <v>174</v>
      </c>
      <c r="E24" s="4">
        <v>147</v>
      </c>
      <c r="F24" s="4">
        <v>27</v>
      </c>
      <c r="G24" s="4">
        <v>4</v>
      </c>
      <c r="H24" s="14"/>
      <c r="I24" s="14"/>
      <c r="J24" s="14"/>
    </row>
    <row r="25" spans="2:10" ht="15.75" thickBot="1" x14ac:dyDescent="0.3">
      <c r="B25" s="10" t="s">
        <v>14</v>
      </c>
      <c r="C25" s="14"/>
      <c r="D25" s="4">
        <v>175</v>
      </c>
      <c r="E25" s="4">
        <v>152</v>
      </c>
      <c r="F25" s="4">
        <v>23</v>
      </c>
      <c r="G25" s="4">
        <v>1</v>
      </c>
      <c r="H25" s="14"/>
      <c r="I25" s="14"/>
      <c r="J25" s="14"/>
    </row>
    <row r="26" spans="2:10" ht="15.75" thickBot="1" x14ac:dyDescent="0.3">
      <c r="B26" s="10" t="s">
        <v>15</v>
      </c>
      <c r="C26" s="14"/>
      <c r="D26" s="4">
        <v>170</v>
      </c>
      <c r="E26" s="4">
        <v>121</v>
      </c>
      <c r="F26" s="4">
        <v>49</v>
      </c>
      <c r="G26" s="4">
        <v>7</v>
      </c>
      <c r="H26" s="14"/>
      <c r="I26" s="14"/>
      <c r="J26" s="14"/>
    </row>
    <row r="27" spans="2:10" ht="15.75" thickBot="1" x14ac:dyDescent="0.3">
      <c r="B27" s="10" t="s">
        <v>16</v>
      </c>
      <c r="C27" s="14"/>
      <c r="D27" s="4">
        <v>171</v>
      </c>
      <c r="E27" s="4">
        <v>146</v>
      </c>
      <c r="F27" s="4">
        <v>25</v>
      </c>
      <c r="G27" s="4">
        <v>3</v>
      </c>
      <c r="H27" s="14"/>
      <c r="I27" s="14"/>
      <c r="J27" s="14"/>
    </row>
    <row r="28" spans="2:10" ht="15.75" thickBot="1" x14ac:dyDescent="0.3">
      <c r="B28" s="11" t="s">
        <v>29</v>
      </c>
      <c r="C28" s="19">
        <v>43221</v>
      </c>
      <c r="D28" s="20">
        <v>4</v>
      </c>
      <c r="E28" s="20">
        <v>3</v>
      </c>
      <c r="F28" s="20">
        <v>1</v>
      </c>
      <c r="G28" s="14"/>
      <c r="H28" s="4"/>
      <c r="I28" s="4"/>
      <c r="J28" s="4"/>
    </row>
    <row r="29" spans="2:10" ht="15.75" thickBot="1" x14ac:dyDescent="0.3">
      <c r="B29" s="12" t="s">
        <v>17</v>
      </c>
      <c r="C29" s="14"/>
      <c r="D29" s="4">
        <v>1</v>
      </c>
      <c r="E29" s="4">
        <v>0</v>
      </c>
      <c r="F29" s="4">
        <v>1</v>
      </c>
      <c r="G29" s="4"/>
      <c r="H29" s="14"/>
      <c r="I29" s="14"/>
      <c r="J29" s="14"/>
    </row>
    <row r="30" spans="2:10" ht="15.75" thickBot="1" x14ac:dyDescent="0.3">
      <c r="B30" s="12" t="s">
        <v>18</v>
      </c>
      <c r="C30" s="14"/>
      <c r="D30" s="4">
        <v>4</v>
      </c>
      <c r="E30" s="4">
        <v>4</v>
      </c>
      <c r="F30" s="4">
        <v>0</v>
      </c>
      <c r="G30" s="4"/>
      <c r="H30" s="14"/>
      <c r="I30" s="14"/>
      <c r="J30" s="14"/>
    </row>
    <row r="31" spans="2:10" ht="15.75" thickBot="1" x14ac:dyDescent="0.3">
      <c r="B31" s="12" t="s">
        <v>19</v>
      </c>
      <c r="C31" s="14"/>
      <c r="D31" s="4">
        <v>2</v>
      </c>
      <c r="E31" s="4">
        <v>2</v>
      </c>
      <c r="F31" s="4">
        <v>0</v>
      </c>
      <c r="G31" s="4"/>
      <c r="H31" s="14"/>
      <c r="I31" s="14"/>
      <c r="J31" s="14"/>
    </row>
    <row r="32" spans="2:10" ht="15.75" thickBot="1" x14ac:dyDescent="0.3">
      <c r="B32" s="12" t="s">
        <v>20</v>
      </c>
      <c r="C32" s="14"/>
      <c r="D32" s="4">
        <v>1</v>
      </c>
      <c r="E32" s="4">
        <v>1</v>
      </c>
      <c r="F32" s="4">
        <v>0</v>
      </c>
      <c r="G32" s="4"/>
      <c r="H32" s="14"/>
      <c r="I32" s="14"/>
      <c r="J32" s="14"/>
    </row>
    <row r="33" spans="2:10" ht="15.75" thickBot="1" x14ac:dyDescent="0.3">
      <c r="B33" s="12" t="s">
        <v>21</v>
      </c>
      <c r="C33" s="14"/>
      <c r="D33" s="4">
        <v>1</v>
      </c>
      <c r="E33" s="4">
        <v>0</v>
      </c>
      <c r="F33" s="4">
        <v>1</v>
      </c>
      <c r="G33" s="4"/>
      <c r="H33" s="14"/>
      <c r="I33" s="14"/>
      <c r="J33" s="14"/>
    </row>
    <row r="34" spans="2:10" ht="15.75" thickBot="1" x14ac:dyDescent="0.3">
      <c r="B34" s="11" t="s">
        <v>30</v>
      </c>
      <c r="C34" s="19">
        <v>43405</v>
      </c>
      <c r="D34" s="20">
        <v>2</v>
      </c>
      <c r="E34" s="20">
        <v>0</v>
      </c>
      <c r="F34" s="20">
        <v>2</v>
      </c>
      <c r="G34" s="14"/>
      <c r="H34" s="4"/>
      <c r="I34" s="4"/>
      <c r="J34" s="4"/>
    </row>
    <row r="35" spans="2:10" ht="15.75" thickBot="1" x14ac:dyDescent="0.3">
      <c r="B35" s="12" t="s">
        <v>17</v>
      </c>
      <c r="C35" s="14"/>
      <c r="D35" s="4">
        <v>2</v>
      </c>
      <c r="E35" s="4">
        <v>0</v>
      </c>
      <c r="F35" s="4">
        <v>2</v>
      </c>
      <c r="G35" s="4"/>
      <c r="H35" s="14"/>
      <c r="I35" s="14"/>
      <c r="J35" s="14"/>
    </row>
    <row r="36" spans="2:10" ht="15.75" thickBot="1" x14ac:dyDescent="0.3">
      <c r="B36" s="12" t="s">
        <v>18</v>
      </c>
      <c r="C36" s="14"/>
      <c r="D36" s="4">
        <v>2</v>
      </c>
      <c r="E36" s="4">
        <v>0</v>
      </c>
      <c r="F36" s="4">
        <v>2</v>
      </c>
      <c r="G36" s="4"/>
      <c r="H36" s="14"/>
      <c r="I36" s="14"/>
      <c r="J36" s="14"/>
    </row>
    <row r="37" spans="2:10" ht="15.75" thickBot="1" x14ac:dyDescent="0.3">
      <c r="B37" s="12" t="s">
        <v>19</v>
      </c>
      <c r="C37" s="14"/>
      <c r="D37" s="4">
        <v>2</v>
      </c>
      <c r="E37" s="4">
        <v>1</v>
      </c>
      <c r="F37" s="4">
        <v>1</v>
      </c>
      <c r="G37" s="4"/>
      <c r="H37" s="14"/>
      <c r="I37" s="14"/>
      <c r="J37" s="14"/>
    </row>
    <row r="38" spans="2:10" ht="15.75" thickBot="1" x14ac:dyDescent="0.3">
      <c r="B38" s="12" t="s">
        <v>20</v>
      </c>
      <c r="C38" s="14"/>
      <c r="D38" s="4">
        <v>2</v>
      </c>
      <c r="E38" s="4">
        <v>1</v>
      </c>
      <c r="F38" s="4">
        <v>1</v>
      </c>
      <c r="G38" s="4"/>
      <c r="H38" s="14"/>
      <c r="I38" s="14"/>
      <c r="J38" s="14"/>
    </row>
    <row r="39" spans="2:10" ht="15.75" thickBot="1" x14ac:dyDescent="0.3">
      <c r="B39" s="12" t="s">
        <v>21</v>
      </c>
      <c r="C39" s="14"/>
      <c r="D39" s="4">
        <v>2</v>
      </c>
      <c r="E39" s="4">
        <v>1</v>
      </c>
      <c r="F39" s="4">
        <v>1</v>
      </c>
      <c r="G39" s="4"/>
      <c r="H39" s="14"/>
      <c r="I39" s="14"/>
      <c r="J39" s="14"/>
    </row>
    <row r="42" spans="2:10" ht="21.75" customHeight="1" x14ac:dyDescent="0.3"/>
    <row r="43" spans="2:10" ht="20.25" customHeight="1" x14ac:dyDescent="0.3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workbookViewId="0">
      <selection activeCell="G9" sqref="G9"/>
    </sheetView>
  </sheetViews>
  <sheetFormatPr defaultRowHeight="14.4" x14ac:dyDescent="0.3"/>
  <cols>
    <col min="1" max="1" width="5.6640625" customWidth="1"/>
    <col min="2" max="2" width="19.88671875" customWidth="1"/>
    <col min="3" max="3" width="15.33203125" customWidth="1"/>
    <col min="4" max="4" width="11.5546875" customWidth="1"/>
    <col min="5" max="5" width="12" customWidth="1"/>
    <col min="6" max="6" width="12.109375" customWidth="1"/>
    <col min="7" max="7" width="12.88671875" customWidth="1"/>
    <col min="8" max="8" width="13.109375" customWidth="1"/>
    <col min="9" max="9" width="12.5546875" customWidth="1"/>
    <col min="10" max="10" width="13.5546875" customWidth="1"/>
  </cols>
  <sheetData>
    <row r="2" spans="2:10" ht="19.5" thickBot="1" x14ac:dyDescent="0.35">
      <c r="B2" s="13" t="s">
        <v>41</v>
      </c>
    </row>
    <row r="3" spans="2:10" ht="90.7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22</v>
      </c>
      <c r="G3" s="2" t="s">
        <v>4</v>
      </c>
      <c r="H3" s="2" t="s">
        <v>5</v>
      </c>
      <c r="I3" s="2" t="s">
        <v>6</v>
      </c>
      <c r="J3" s="2" t="s">
        <v>7</v>
      </c>
    </row>
    <row r="4" spans="2:10" ht="15" thickBot="1" x14ac:dyDescent="0.35">
      <c r="B4" s="7" t="s">
        <v>26</v>
      </c>
      <c r="C4" s="19">
        <v>42795</v>
      </c>
      <c r="D4" s="20">
        <v>50</v>
      </c>
      <c r="E4" s="20">
        <v>43</v>
      </c>
      <c r="F4" s="20">
        <v>7</v>
      </c>
      <c r="G4" s="14"/>
      <c r="H4" s="4"/>
      <c r="I4" s="4"/>
      <c r="J4" s="4"/>
    </row>
    <row r="5" spans="2:10" ht="15.75" thickBot="1" x14ac:dyDescent="0.3">
      <c r="B5" s="8" t="s">
        <v>11</v>
      </c>
      <c r="C5" s="14"/>
      <c r="D5" s="4">
        <v>20</v>
      </c>
      <c r="E5" s="4">
        <v>20</v>
      </c>
      <c r="F5" s="4">
        <v>0</v>
      </c>
      <c r="G5" s="4"/>
      <c r="H5" s="14"/>
      <c r="I5" s="14"/>
      <c r="J5" s="14"/>
    </row>
    <row r="6" spans="2:10" ht="15.75" thickBot="1" x14ac:dyDescent="0.3">
      <c r="B6" s="8" t="s">
        <v>12</v>
      </c>
      <c r="C6" s="14"/>
      <c r="D6" s="4">
        <v>49</v>
      </c>
      <c r="E6" s="4">
        <v>42</v>
      </c>
      <c r="F6" s="4">
        <v>7</v>
      </c>
      <c r="G6" s="4"/>
      <c r="H6" s="14"/>
      <c r="I6" s="14"/>
      <c r="J6" s="14"/>
    </row>
    <row r="7" spans="2:10" ht="15" thickBot="1" x14ac:dyDescent="0.35">
      <c r="B7" s="9" t="s">
        <v>28</v>
      </c>
      <c r="C7" s="19">
        <v>42826</v>
      </c>
      <c r="D7" s="20">
        <v>95</v>
      </c>
      <c r="E7" s="20">
        <v>75</v>
      </c>
      <c r="F7" s="20">
        <v>20</v>
      </c>
      <c r="G7" s="14"/>
      <c r="H7" s="4"/>
      <c r="I7" s="4"/>
      <c r="J7" s="4"/>
    </row>
    <row r="8" spans="2:10" ht="15.75" thickBot="1" x14ac:dyDescent="0.3">
      <c r="B8" s="10" t="s">
        <v>13</v>
      </c>
      <c r="C8" s="14"/>
      <c r="D8" s="4">
        <v>51</v>
      </c>
      <c r="E8" s="4">
        <v>40</v>
      </c>
      <c r="F8" s="4">
        <v>11</v>
      </c>
      <c r="G8" s="4"/>
      <c r="H8" s="14"/>
      <c r="I8" s="14"/>
      <c r="J8" s="14"/>
    </row>
    <row r="9" spans="2:10" ht="15.75" thickBot="1" x14ac:dyDescent="0.3">
      <c r="B9" s="10" t="s">
        <v>14</v>
      </c>
      <c r="C9" s="14"/>
      <c r="D9" s="4">
        <v>54</v>
      </c>
      <c r="E9" s="4">
        <v>41</v>
      </c>
      <c r="F9" s="4">
        <v>13</v>
      </c>
      <c r="G9" s="4"/>
      <c r="H9" s="14"/>
      <c r="I9" s="14"/>
      <c r="J9" s="14"/>
    </row>
    <row r="10" spans="2:10" ht="15.75" thickBot="1" x14ac:dyDescent="0.3">
      <c r="B10" s="10" t="s">
        <v>15</v>
      </c>
      <c r="C10" s="14"/>
      <c r="D10" s="4">
        <v>81</v>
      </c>
      <c r="E10" s="4">
        <v>73</v>
      </c>
      <c r="F10" s="4">
        <v>8</v>
      </c>
      <c r="G10" s="4"/>
      <c r="H10" s="14"/>
      <c r="I10" s="14"/>
      <c r="J10" s="14"/>
    </row>
    <row r="11" spans="2:10" ht="15.75" thickBot="1" x14ac:dyDescent="0.3">
      <c r="B11" s="10" t="s">
        <v>16</v>
      </c>
      <c r="C11" s="14"/>
      <c r="D11" s="4">
        <v>61</v>
      </c>
      <c r="E11" s="4">
        <v>53</v>
      </c>
      <c r="F11" s="4">
        <v>8</v>
      </c>
      <c r="G11" s="4"/>
      <c r="H11" s="14"/>
      <c r="I11" s="14"/>
      <c r="J11" s="14"/>
    </row>
    <row r="12" spans="2:10" ht="15.75" thickBot="1" x14ac:dyDescent="0.3">
      <c r="B12" s="11" t="s">
        <v>29</v>
      </c>
      <c r="C12" s="19">
        <v>42856</v>
      </c>
      <c r="D12" s="20">
        <v>53</v>
      </c>
      <c r="E12" s="20">
        <v>36</v>
      </c>
      <c r="F12" s="20">
        <v>17</v>
      </c>
      <c r="G12" s="14"/>
      <c r="H12" s="4"/>
      <c r="I12" s="4"/>
      <c r="J12" s="4">
        <v>1</v>
      </c>
    </row>
    <row r="13" spans="2:10" ht="15.75" thickBot="1" x14ac:dyDescent="0.3">
      <c r="B13" s="12" t="s">
        <v>17</v>
      </c>
      <c r="C13" s="14"/>
      <c r="D13" s="4">
        <v>25</v>
      </c>
      <c r="E13" s="4">
        <v>23</v>
      </c>
      <c r="F13" s="4">
        <v>2</v>
      </c>
      <c r="G13" s="4"/>
      <c r="H13" s="14"/>
      <c r="I13" s="14"/>
      <c r="J13" s="14"/>
    </row>
    <row r="14" spans="2:10" ht="15.75" thickBot="1" x14ac:dyDescent="0.3">
      <c r="B14" s="12" t="s">
        <v>18</v>
      </c>
      <c r="C14" s="14"/>
      <c r="D14" s="4">
        <v>43</v>
      </c>
      <c r="E14" s="4">
        <v>28</v>
      </c>
      <c r="F14" s="4">
        <v>15</v>
      </c>
      <c r="G14" s="4"/>
      <c r="H14" s="14"/>
      <c r="I14" s="14"/>
      <c r="J14" s="14"/>
    </row>
    <row r="15" spans="2:10" ht="15.75" thickBot="1" x14ac:dyDescent="0.3">
      <c r="B15" s="12" t="s">
        <v>19</v>
      </c>
      <c r="C15" s="14"/>
      <c r="D15" s="4">
        <v>22</v>
      </c>
      <c r="E15" s="4">
        <v>21</v>
      </c>
      <c r="F15" s="4">
        <v>1</v>
      </c>
      <c r="G15" s="4"/>
      <c r="H15" s="14"/>
      <c r="I15" s="14"/>
      <c r="J15" s="14"/>
    </row>
    <row r="16" spans="2:10" ht="15" thickBot="1" x14ac:dyDescent="0.35">
      <c r="B16" s="12" t="s">
        <v>20</v>
      </c>
      <c r="C16" s="14"/>
      <c r="D16" s="4">
        <v>25</v>
      </c>
      <c r="E16" s="4">
        <v>25</v>
      </c>
      <c r="F16" s="4">
        <v>0</v>
      </c>
      <c r="G16" s="4"/>
      <c r="H16" s="14"/>
      <c r="I16" s="14"/>
      <c r="J16" s="14"/>
    </row>
    <row r="17" spans="2:10" ht="15" thickBot="1" x14ac:dyDescent="0.35">
      <c r="B17" s="12" t="s">
        <v>21</v>
      </c>
      <c r="C17" s="14"/>
      <c r="D17" s="4">
        <v>28</v>
      </c>
      <c r="E17" s="4">
        <v>23</v>
      </c>
      <c r="F17" s="4">
        <v>5</v>
      </c>
      <c r="G17" s="4"/>
      <c r="H17" s="14"/>
      <c r="I17" s="14"/>
      <c r="J17" s="14"/>
    </row>
    <row r="18" spans="2:10" ht="15" thickBot="1" x14ac:dyDescent="0.35">
      <c r="B18" s="11" t="s">
        <v>30</v>
      </c>
      <c r="C18" s="19">
        <v>43040</v>
      </c>
      <c r="D18" s="20">
        <v>19</v>
      </c>
      <c r="E18" s="20">
        <v>15</v>
      </c>
      <c r="F18" s="20">
        <v>4</v>
      </c>
      <c r="G18" s="14"/>
      <c r="H18" s="4"/>
      <c r="I18" s="4"/>
      <c r="J18" s="4"/>
    </row>
    <row r="19" spans="2:10" ht="15" thickBot="1" x14ac:dyDescent="0.35">
      <c r="B19" s="12" t="s">
        <v>17</v>
      </c>
      <c r="C19" s="14"/>
      <c r="D19" s="4">
        <v>4</v>
      </c>
      <c r="E19" s="4">
        <v>3</v>
      </c>
      <c r="F19" s="4">
        <v>1</v>
      </c>
      <c r="G19" s="4"/>
      <c r="H19" s="14"/>
      <c r="I19" s="14"/>
      <c r="J19" s="14"/>
    </row>
    <row r="20" spans="2:10" ht="15" thickBot="1" x14ac:dyDescent="0.35">
      <c r="B20" s="12" t="s">
        <v>18</v>
      </c>
      <c r="C20" s="14"/>
      <c r="D20" s="4">
        <v>17</v>
      </c>
      <c r="E20" s="4">
        <v>13</v>
      </c>
      <c r="F20" s="4">
        <v>4</v>
      </c>
      <c r="G20" s="4"/>
      <c r="H20" s="14"/>
      <c r="I20" s="14"/>
      <c r="J20" s="14"/>
    </row>
    <row r="21" spans="2:10" ht="15" thickBot="1" x14ac:dyDescent="0.35">
      <c r="B21" s="12" t="s">
        <v>19</v>
      </c>
      <c r="C21" s="14"/>
      <c r="D21" s="4">
        <v>3</v>
      </c>
      <c r="E21" s="4">
        <v>1</v>
      </c>
      <c r="F21" s="4">
        <v>2</v>
      </c>
      <c r="G21" s="4"/>
      <c r="H21" s="14"/>
      <c r="I21" s="14"/>
      <c r="J21" s="14"/>
    </row>
    <row r="22" spans="2:10" ht="15" thickBot="1" x14ac:dyDescent="0.35">
      <c r="B22" s="12" t="s">
        <v>20</v>
      </c>
      <c r="C22" s="14"/>
      <c r="D22" s="4">
        <v>2</v>
      </c>
      <c r="E22" s="4">
        <v>1</v>
      </c>
      <c r="F22" s="4">
        <v>1</v>
      </c>
      <c r="G22" s="4"/>
      <c r="H22" s="14"/>
      <c r="I22" s="14"/>
      <c r="J22" s="14"/>
    </row>
    <row r="23" spans="2:10" ht="15" thickBot="1" x14ac:dyDescent="0.35">
      <c r="B23" s="12" t="s">
        <v>21</v>
      </c>
      <c r="C23" s="14"/>
      <c r="D23" s="4">
        <v>7</v>
      </c>
      <c r="E23" s="4">
        <v>6</v>
      </c>
      <c r="F23" s="4">
        <v>1</v>
      </c>
      <c r="G23" s="4"/>
      <c r="H23" s="14"/>
      <c r="I23" s="14"/>
      <c r="J23" s="14"/>
    </row>
    <row r="26" spans="2:10" ht="21.75" customHeight="1" x14ac:dyDescent="0.3"/>
    <row r="27" spans="2:10" ht="20.25" customHeight="1" x14ac:dyDescent="0.3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8"/>
  <sheetViews>
    <sheetView topLeftCell="A20" workbookViewId="0">
      <selection activeCell="D4" sqref="D4"/>
    </sheetView>
  </sheetViews>
  <sheetFormatPr defaultRowHeight="14.4" x14ac:dyDescent="0.3"/>
  <cols>
    <col min="1" max="1" width="5.6640625" customWidth="1"/>
    <col min="2" max="2" width="19.88671875" customWidth="1"/>
    <col min="3" max="3" width="15.33203125" style="17" customWidth="1"/>
    <col min="4" max="4" width="11.5546875" customWidth="1"/>
    <col min="5" max="5" width="12" customWidth="1"/>
    <col min="6" max="6" width="12.109375" customWidth="1"/>
    <col min="7" max="7" width="11.44140625" customWidth="1"/>
    <col min="8" max="9" width="11.5546875" customWidth="1"/>
    <col min="10" max="10" width="13.5546875" customWidth="1"/>
  </cols>
  <sheetData>
    <row r="2" spans="2:10" ht="19.5" thickBot="1" x14ac:dyDescent="0.35">
      <c r="B2" s="13" t="s">
        <v>42</v>
      </c>
    </row>
    <row r="3" spans="2:10" ht="90.7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22</v>
      </c>
      <c r="G3" s="2" t="s">
        <v>4</v>
      </c>
      <c r="H3" s="2" t="s">
        <v>5</v>
      </c>
      <c r="I3" s="2" t="s">
        <v>6</v>
      </c>
      <c r="J3" s="2" t="s">
        <v>7</v>
      </c>
    </row>
    <row r="4" spans="2:10" ht="15.75" thickBot="1" x14ac:dyDescent="0.3">
      <c r="B4" s="5" t="s">
        <v>23</v>
      </c>
      <c r="C4" s="16">
        <v>42552</v>
      </c>
      <c r="D4" s="3">
        <v>170</v>
      </c>
      <c r="E4" s="3">
        <v>115</v>
      </c>
      <c r="F4" s="3">
        <v>55</v>
      </c>
      <c r="G4" s="15"/>
      <c r="H4" s="3">
        <v>6</v>
      </c>
      <c r="I4" s="3">
        <v>24</v>
      </c>
      <c r="J4" s="3">
        <v>27</v>
      </c>
    </row>
    <row r="5" spans="2:10" ht="15.75" thickBot="1" x14ac:dyDescent="0.3">
      <c r="B5" s="6" t="s">
        <v>8</v>
      </c>
      <c r="C5" s="18"/>
      <c r="D5" s="4">
        <v>165</v>
      </c>
      <c r="E5" s="4">
        <v>136</v>
      </c>
      <c r="F5" s="4">
        <v>29</v>
      </c>
      <c r="G5" s="4">
        <v>13</v>
      </c>
      <c r="H5" s="14"/>
      <c r="I5" s="14"/>
      <c r="J5" s="14"/>
    </row>
    <row r="6" spans="2:10" ht="15.75" thickBot="1" x14ac:dyDescent="0.3">
      <c r="B6" s="6" t="s">
        <v>9</v>
      </c>
      <c r="C6" s="18"/>
      <c r="D6" s="4">
        <v>170</v>
      </c>
      <c r="E6" s="4">
        <v>116</v>
      </c>
      <c r="F6" s="4">
        <v>54</v>
      </c>
      <c r="G6" s="4">
        <v>3</v>
      </c>
      <c r="H6" s="14"/>
      <c r="I6" s="14"/>
      <c r="J6" s="14"/>
    </row>
    <row r="7" spans="2:10" ht="15.75" thickBot="1" x14ac:dyDescent="0.3">
      <c r="B7" s="6" t="s">
        <v>10</v>
      </c>
      <c r="C7" s="18"/>
      <c r="D7" s="4">
        <v>164</v>
      </c>
      <c r="E7" s="4">
        <v>145</v>
      </c>
      <c r="F7" s="4">
        <v>19</v>
      </c>
      <c r="G7" s="4">
        <v>14</v>
      </c>
      <c r="H7" s="14"/>
      <c r="I7" s="14"/>
      <c r="J7" s="14"/>
    </row>
    <row r="8" spans="2:10" ht="15.75" thickBot="1" x14ac:dyDescent="0.3">
      <c r="B8" s="5" t="s">
        <v>24</v>
      </c>
      <c r="C8" s="16">
        <v>42644</v>
      </c>
      <c r="D8" s="3">
        <v>55</v>
      </c>
      <c r="E8" s="3">
        <v>46</v>
      </c>
      <c r="F8" s="3">
        <v>9</v>
      </c>
      <c r="G8" s="15"/>
      <c r="H8" s="3"/>
      <c r="I8" s="3"/>
      <c r="J8" s="3"/>
    </row>
    <row r="9" spans="2:10" ht="15.75" thickBot="1" x14ac:dyDescent="0.3">
      <c r="B9" s="6" t="s">
        <v>8</v>
      </c>
      <c r="C9" s="18"/>
      <c r="D9" s="4">
        <v>29</v>
      </c>
      <c r="E9" s="4">
        <v>24</v>
      </c>
      <c r="F9" s="4">
        <v>5</v>
      </c>
      <c r="G9" s="4"/>
      <c r="H9" s="14"/>
      <c r="I9" s="14"/>
      <c r="J9" s="14"/>
    </row>
    <row r="10" spans="2:10" ht="15.75" thickBot="1" x14ac:dyDescent="0.3">
      <c r="B10" s="6" t="s">
        <v>9</v>
      </c>
      <c r="C10" s="18"/>
      <c r="D10" s="4">
        <v>54</v>
      </c>
      <c r="E10" s="4">
        <v>9</v>
      </c>
      <c r="F10" s="4">
        <v>45</v>
      </c>
      <c r="G10" s="4"/>
      <c r="H10" s="14"/>
      <c r="I10" s="14"/>
      <c r="J10" s="14"/>
    </row>
    <row r="11" spans="2:10" ht="15.75" thickBot="1" x14ac:dyDescent="0.3">
      <c r="B11" s="6" t="s">
        <v>10</v>
      </c>
      <c r="C11" s="18"/>
      <c r="D11" s="4">
        <v>19</v>
      </c>
      <c r="E11" s="4">
        <v>15</v>
      </c>
      <c r="F11" s="4">
        <v>4</v>
      </c>
      <c r="G11" s="4"/>
      <c r="H11" s="14"/>
      <c r="I11" s="14"/>
      <c r="J11" s="14"/>
    </row>
    <row r="12" spans="2:10" ht="15" thickBot="1" x14ac:dyDescent="0.35">
      <c r="B12" s="7" t="s">
        <v>26</v>
      </c>
      <c r="C12" s="19">
        <v>42461</v>
      </c>
      <c r="D12" s="20">
        <v>53</v>
      </c>
      <c r="E12" s="20">
        <v>31</v>
      </c>
      <c r="F12" s="20">
        <v>22</v>
      </c>
      <c r="G12" s="14"/>
      <c r="H12" s="4"/>
      <c r="I12" s="4"/>
      <c r="J12" s="4"/>
    </row>
    <row r="13" spans="2:10" ht="15.75" thickBot="1" x14ac:dyDescent="0.3">
      <c r="B13" s="8" t="s">
        <v>11</v>
      </c>
      <c r="C13" s="18"/>
      <c r="D13" s="4">
        <v>41</v>
      </c>
      <c r="E13" s="4">
        <v>38</v>
      </c>
      <c r="F13" s="4">
        <v>3</v>
      </c>
      <c r="G13" s="4"/>
      <c r="H13" s="14"/>
      <c r="I13" s="14"/>
      <c r="J13" s="14"/>
    </row>
    <row r="14" spans="2:10" ht="15.75" thickBot="1" x14ac:dyDescent="0.3">
      <c r="B14" s="8" t="s">
        <v>12</v>
      </c>
      <c r="C14" s="18"/>
      <c r="D14" s="24">
        <v>38</v>
      </c>
      <c r="E14" s="24">
        <v>13</v>
      </c>
      <c r="F14" s="24">
        <v>22</v>
      </c>
      <c r="G14" s="4"/>
      <c r="H14" s="14"/>
      <c r="I14" s="14"/>
      <c r="J14" s="14"/>
    </row>
    <row r="15" spans="2:10" ht="15" thickBot="1" x14ac:dyDescent="0.35">
      <c r="B15" s="7" t="s">
        <v>27</v>
      </c>
      <c r="C15" s="19">
        <v>42705</v>
      </c>
      <c r="D15" s="20">
        <v>173</v>
      </c>
      <c r="E15" s="20">
        <v>127</v>
      </c>
      <c r="F15" s="20">
        <v>46</v>
      </c>
      <c r="G15" s="14"/>
      <c r="H15" s="24"/>
      <c r="I15" s="24"/>
      <c r="J15" s="24"/>
    </row>
    <row r="16" spans="2:10" ht="15.75" thickBot="1" x14ac:dyDescent="0.3">
      <c r="B16" s="8" t="s">
        <v>11</v>
      </c>
      <c r="C16" s="18"/>
      <c r="D16" s="4">
        <v>163</v>
      </c>
      <c r="E16" s="4">
        <v>142</v>
      </c>
      <c r="F16" s="4">
        <v>21</v>
      </c>
      <c r="G16" s="4">
        <v>27</v>
      </c>
      <c r="H16" s="14"/>
      <c r="I16" s="14"/>
      <c r="J16" s="14"/>
    </row>
    <row r="17" spans="2:10" ht="15.75" thickBot="1" x14ac:dyDescent="0.3">
      <c r="B17" s="8" t="s">
        <v>12</v>
      </c>
      <c r="C17" s="18"/>
      <c r="D17" s="4">
        <v>173</v>
      </c>
      <c r="E17" s="4">
        <v>128</v>
      </c>
      <c r="F17" s="4">
        <v>45</v>
      </c>
      <c r="G17" s="4">
        <v>12</v>
      </c>
      <c r="H17" s="14"/>
      <c r="I17" s="14"/>
      <c r="J17" s="14"/>
    </row>
    <row r="18" spans="2:10" ht="15" thickBot="1" x14ac:dyDescent="0.35">
      <c r="B18" s="9" t="s">
        <v>28</v>
      </c>
      <c r="C18" s="19">
        <v>42705</v>
      </c>
      <c r="D18" s="20">
        <v>180</v>
      </c>
      <c r="E18" s="20">
        <v>85</v>
      </c>
      <c r="F18" s="20">
        <v>95</v>
      </c>
      <c r="G18" s="18"/>
      <c r="H18" s="20">
        <v>2</v>
      </c>
      <c r="I18" s="20">
        <v>7</v>
      </c>
      <c r="J18" s="20">
        <v>33</v>
      </c>
    </row>
    <row r="19" spans="2:10" ht="15.75" thickBot="1" x14ac:dyDescent="0.3">
      <c r="B19" s="10" t="s">
        <v>13</v>
      </c>
      <c r="C19" s="18"/>
      <c r="D19" s="4">
        <v>169</v>
      </c>
      <c r="E19" s="4">
        <v>119</v>
      </c>
      <c r="F19" s="4">
        <v>50</v>
      </c>
      <c r="G19" s="4"/>
      <c r="H19" s="14"/>
      <c r="I19" s="14"/>
      <c r="J19" s="14"/>
    </row>
    <row r="20" spans="2:10" ht="15.75" thickBot="1" x14ac:dyDescent="0.3">
      <c r="B20" s="10" t="s">
        <v>14</v>
      </c>
      <c r="C20" s="18"/>
      <c r="D20" s="4">
        <v>169</v>
      </c>
      <c r="E20" s="4">
        <v>117</v>
      </c>
      <c r="F20" s="4">
        <v>52</v>
      </c>
      <c r="G20" s="4"/>
      <c r="H20" s="14"/>
      <c r="I20" s="14"/>
      <c r="J20" s="14"/>
    </row>
    <row r="21" spans="2:10" ht="15.75" thickBot="1" x14ac:dyDescent="0.3">
      <c r="B21" s="10" t="s">
        <v>15</v>
      </c>
      <c r="C21" s="18"/>
      <c r="D21" s="4">
        <v>177</v>
      </c>
      <c r="E21" s="4">
        <v>97</v>
      </c>
      <c r="F21" s="4">
        <v>80</v>
      </c>
      <c r="G21" s="4">
        <v>3</v>
      </c>
      <c r="H21" s="14"/>
      <c r="I21" s="14"/>
      <c r="J21" s="14"/>
    </row>
    <row r="22" spans="2:10" ht="15.75" thickBot="1" x14ac:dyDescent="0.3">
      <c r="B22" s="10" t="s">
        <v>16</v>
      </c>
      <c r="C22" s="18"/>
      <c r="D22" s="4">
        <v>169</v>
      </c>
      <c r="E22" s="4">
        <v>169</v>
      </c>
      <c r="F22" s="4">
        <v>60</v>
      </c>
      <c r="G22" s="4">
        <v>3</v>
      </c>
      <c r="H22" s="14"/>
      <c r="I22" s="14"/>
      <c r="J22" s="14"/>
    </row>
    <row r="23" spans="2:10" ht="15.75" thickBot="1" x14ac:dyDescent="0.3">
      <c r="B23" s="11" t="s">
        <v>29</v>
      </c>
      <c r="C23" s="19">
        <v>42675</v>
      </c>
      <c r="D23" s="28">
        <v>135</v>
      </c>
      <c r="E23" s="28">
        <v>92</v>
      </c>
      <c r="F23" s="28">
        <v>39</v>
      </c>
      <c r="G23" s="18"/>
      <c r="H23" s="20">
        <v>2</v>
      </c>
      <c r="I23" s="20">
        <v>5</v>
      </c>
      <c r="J23" s="20">
        <v>33</v>
      </c>
    </row>
    <row r="24" spans="2:10" ht="15.75" thickBot="1" x14ac:dyDescent="0.3">
      <c r="B24" s="12" t="s">
        <v>17</v>
      </c>
      <c r="C24" s="18"/>
      <c r="D24" s="4">
        <v>121</v>
      </c>
      <c r="E24" s="4">
        <v>111</v>
      </c>
      <c r="F24" s="4">
        <v>10</v>
      </c>
      <c r="G24" s="4">
        <v>7</v>
      </c>
      <c r="H24" s="14"/>
      <c r="I24" s="14"/>
      <c r="J24" s="14"/>
    </row>
    <row r="25" spans="2:10" ht="15.75" thickBot="1" x14ac:dyDescent="0.3">
      <c r="B25" s="12" t="s">
        <v>18</v>
      </c>
      <c r="C25" s="18"/>
      <c r="D25" s="4">
        <v>126</v>
      </c>
      <c r="E25" s="4">
        <v>96</v>
      </c>
      <c r="F25" s="4">
        <v>30</v>
      </c>
      <c r="G25" s="4"/>
      <c r="H25" s="14"/>
      <c r="I25" s="14"/>
      <c r="J25" s="14"/>
    </row>
    <row r="26" spans="2:10" ht="15.75" thickBot="1" x14ac:dyDescent="0.3">
      <c r="B26" s="12" t="s">
        <v>19</v>
      </c>
      <c r="C26" s="18"/>
      <c r="D26" s="4">
        <v>130</v>
      </c>
      <c r="E26" s="4">
        <v>114</v>
      </c>
      <c r="F26" s="4">
        <v>8</v>
      </c>
      <c r="G26" s="4"/>
      <c r="H26" s="14"/>
      <c r="I26" s="14"/>
      <c r="J26" s="14"/>
    </row>
    <row r="27" spans="2:10" ht="15.75" thickBot="1" x14ac:dyDescent="0.3">
      <c r="B27" s="12" t="s">
        <v>20</v>
      </c>
      <c r="C27" s="18"/>
      <c r="D27" s="4">
        <v>120</v>
      </c>
      <c r="E27" s="4">
        <v>110</v>
      </c>
      <c r="F27" s="4">
        <v>10</v>
      </c>
      <c r="G27" s="4">
        <v>3</v>
      </c>
      <c r="H27" s="14"/>
      <c r="I27" s="14"/>
      <c r="J27" s="14"/>
    </row>
    <row r="28" spans="2:10" ht="15.75" thickBot="1" x14ac:dyDescent="0.3">
      <c r="B28" s="12" t="s">
        <v>21</v>
      </c>
      <c r="C28" s="18"/>
      <c r="D28" s="4">
        <v>122</v>
      </c>
      <c r="E28" s="4">
        <v>109</v>
      </c>
      <c r="F28" s="4">
        <v>13</v>
      </c>
      <c r="G28" s="4">
        <v>4</v>
      </c>
      <c r="H28" s="14"/>
      <c r="I28" s="14"/>
      <c r="J28" s="14"/>
    </row>
    <row r="29" spans="2:10" ht="15.75" thickBot="1" x14ac:dyDescent="0.3">
      <c r="B29" s="11" t="s">
        <v>30</v>
      </c>
      <c r="C29" s="19">
        <v>42491</v>
      </c>
      <c r="D29" s="20">
        <v>36</v>
      </c>
      <c r="E29" s="20">
        <v>24</v>
      </c>
      <c r="F29" s="20">
        <v>12</v>
      </c>
      <c r="G29" s="18"/>
      <c r="H29" s="4"/>
      <c r="I29" s="4"/>
      <c r="J29" s="4"/>
    </row>
    <row r="30" spans="2:10" ht="15.75" thickBot="1" x14ac:dyDescent="0.3">
      <c r="B30" s="12" t="s">
        <v>17</v>
      </c>
      <c r="C30" s="18"/>
      <c r="D30" s="4">
        <v>12</v>
      </c>
      <c r="E30" s="4">
        <v>10</v>
      </c>
      <c r="F30" s="4">
        <v>2</v>
      </c>
      <c r="G30" s="4"/>
      <c r="H30" s="14"/>
      <c r="I30" s="14"/>
      <c r="J30" s="14"/>
    </row>
    <row r="31" spans="2:10" ht="15.75" thickBot="1" x14ac:dyDescent="0.3">
      <c r="B31" s="12" t="s">
        <v>18</v>
      </c>
      <c r="C31" s="18"/>
      <c r="D31" s="4">
        <v>10</v>
      </c>
      <c r="E31" s="4">
        <v>3</v>
      </c>
      <c r="F31" s="4">
        <v>7</v>
      </c>
      <c r="G31" s="4"/>
      <c r="H31" s="14"/>
      <c r="I31" s="14"/>
      <c r="J31" s="14"/>
    </row>
    <row r="32" spans="2:10" ht="15.75" thickBot="1" x14ac:dyDescent="0.3">
      <c r="B32" s="12" t="s">
        <v>19</v>
      </c>
      <c r="C32" s="18"/>
      <c r="D32" s="4">
        <v>15</v>
      </c>
      <c r="E32" s="4">
        <v>12</v>
      </c>
      <c r="F32" s="4">
        <v>3</v>
      </c>
      <c r="G32" s="4"/>
      <c r="H32" s="14"/>
      <c r="I32" s="14"/>
      <c r="J32" s="14"/>
    </row>
    <row r="33" spans="2:13" ht="15.75" thickBot="1" x14ac:dyDescent="0.3">
      <c r="B33" s="12" t="s">
        <v>20</v>
      </c>
      <c r="C33" s="18"/>
      <c r="D33" s="4">
        <v>6</v>
      </c>
      <c r="E33" s="4">
        <v>5</v>
      </c>
      <c r="F33" s="4">
        <v>1</v>
      </c>
      <c r="G33" s="4"/>
      <c r="H33" s="14"/>
      <c r="I33" s="14"/>
      <c r="J33" s="14"/>
    </row>
    <row r="34" spans="2:13" ht="15.75" thickBot="1" x14ac:dyDescent="0.3">
      <c r="B34" s="12" t="s">
        <v>21</v>
      </c>
      <c r="C34" s="18"/>
      <c r="D34" s="4">
        <v>18</v>
      </c>
      <c r="E34" s="4">
        <v>15</v>
      </c>
      <c r="F34" s="4">
        <v>3</v>
      </c>
      <c r="G34" s="4"/>
      <c r="H34" s="14"/>
      <c r="I34" s="14"/>
      <c r="J34" s="14"/>
    </row>
    <row r="35" spans="2:13" ht="15" x14ac:dyDescent="0.25">
      <c r="M35" t="s">
        <v>46</v>
      </c>
    </row>
    <row r="37" spans="2:13" ht="21.75" customHeight="1" x14ac:dyDescent="0.25"/>
    <row r="38" spans="2:13" ht="20.25" customHeight="1" x14ac:dyDescent="0.25"/>
  </sheetData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30" zoomScale="84" zoomScaleNormal="84" workbookViewId="0">
      <selection activeCell="V55" sqref="V55"/>
    </sheetView>
  </sheetViews>
  <sheetFormatPr defaultRowHeight="14.4" x14ac:dyDescent="0.3"/>
  <cols>
    <col min="2" max="2" width="11.44140625" customWidth="1"/>
    <col min="3" max="3" width="15.44140625" customWidth="1"/>
    <col min="4" max="4" width="9.33203125" customWidth="1"/>
    <col min="15" max="15" width="10.109375" customWidth="1"/>
    <col min="16" max="16" width="13.6640625" customWidth="1"/>
  </cols>
  <sheetData>
    <row r="1" spans="1:3" ht="15" x14ac:dyDescent="0.25">
      <c r="A1" s="81" t="s">
        <v>52</v>
      </c>
      <c r="B1" s="81"/>
      <c r="C1" s="81"/>
    </row>
    <row r="2" spans="1:3" ht="15" x14ac:dyDescent="0.25">
      <c r="B2" t="s">
        <v>44</v>
      </c>
      <c r="C2" t="s">
        <v>45</v>
      </c>
    </row>
    <row r="3" spans="1:3" ht="15" x14ac:dyDescent="0.25">
      <c r="A3">
        <v>2016</v>
      </c>
      <c r="B3" s="22">
        <v>0.82</v>
      </c>
      <c r="C3" s="22">
        <v>0.18</v>
      </c>
    </row>
    <row r="4" spans="1:3" ht="15" x14ac:dyDescent="0.25">
      <c r="A4">
        <v>2017</v>
      </c>
      <c r="B4" s="22">
        <v>0</v>
      </c>
      <c r="C4" s="22">
        <v>0</v>
      </c>
    </row>
    <row r="5" spans="1:3" ht="15" x14ac:dyDescent="0.25">
      <c r="A5">
        <v>2018</v>
      </c>
      <c r="B5" s="22">
        <v>0.79</v>
      </c>
      <c r="C5" s="22">
        <v>0.21</v>
      </c>
    </row>
    <row r="6" spans="1:3" ht="15" x14ac:dyDescent="0.25">
      <c r="A6">
        <v>2019</v>
      </c>
      <c r="B6" s="22">
        <v>0.81</v>
      </c>
      <c r="C6" s="22">
        <v>0.19</v>
      </c>
    </row>
    <row r="7" spans="1:3" ht="15" x14ac:dyDescent="0.25">
      <c r="A7">
        <v>2020</v>
      </c>
      <c r="B7" s="22">
        <v>0.7</v>
      </c>
      <c r="C7" s="22">
        <v>0.3</v>
      </c>
    </row>
    <row r="8" spans="1:3" ht="15" x14ac:dyDescent="0.25">
      <c r="A8">
        <v>2021</v>
      </c>
      <c r="B8" s="29">
        <f>171/204*100%</f>
        <v>0.83823529411764708</v>
      </c>
      <c r="C8" s="29">
        <f>33/204*100%</f>
        <v>0.16176470588235295</v>
      </c>
    </row>
    <row r="9" spans="1:3" ht="15" x14ac:dyDescent="0.25">
      <c r="A9">
        <v>2022</v>
      </c>
      <c r="B9" s="29">
        <v>0.82</v>
      </c>
      <c r="C9" s="29">
        <v>0.18</v>
      </c>
    </row>
    <row r="10" spans="1:3" ht="15" x14ac:dyDescent="0.25">
      <c r="B10" s="29"/>
      <c r="C10" s="29"/>
    </row>
    <row r="11" spans="1:3" ht="15" x14ac:dyDescent="0.25">
      <c r="A11" s="81" t="s">
        <v>53</v>
      </c>
      <c r="B11" s="81"/>
      <c r="C11" s="81"/>
    </row>
    <row r="12" spans="1:3" ht="15" x14ac:dyDescent="0.25">
      <c r="B12" t="s">
        <v>44</v>
      </c>
      <c r="C12" t="s">
        <v>45</v>
      </c>
    </row>
    <row r="13" spans="1:3" ht="15" x14ac:dyDescent="0.25">
      <c r="A13">
        <v>2016</v>
      </c>
      <c r="B13" s="22">
        <v>0.83</v>
      </c>
      <c r="C13" s="22">
        <v>0.17</v>
      </c>
    </row>
    <row r="14" spans="1:3" ht="15" x14ac:dyDescent="0.25">
      <c r="A14">
        <v>2017</v>
      </c>
      <c r="B14" s="22">
        <v>0</v>
      </c>
      <c r="C14" s="22">
        <v>0</v>
      </c>
    </row>
    <row r="15" spans="1:3" ht="15" x14ac:dyDescent="0.25">
      <c r="A15">
        <v>2018</v>
      </c>
      <c r="B15" s="22">
        <v>1</v>
      </c>
      <c r="C15" s="22">
        <v>0</v>
      </c>
    </row>
    <row r="16" spans="1:3" ht="15" x14ac:dyDescent="0.25">
      <c r="A16">
        <v>2019</v>
      </c>
      <c r="B16" s="22">
        <v>0.81</v>
      </c>
      <c r="C16" s="22">
        <v>0.19</v>
      </c>
    </row>
    <row r="17" spans="1:17" ht="15" x14ac:dyDescent="0.25">
      <c r="A17">
        <v>2020</v>
      </c>
      <c r="B17" s="22">
        <v>0.87</v>
      </c>
      <c r="C17" s="22">
        <v>0.13</v>
      </c>
    </row>
    <row r="18" spans="1:17" ht="15" x14ac:dyDescent="0.25">
      <c r="A18">
        <v>2021</v>
      </c>
      <c r="B18" s="29">
        <f>36/38*100%</f>
        <v>0.94736842105263153</v>
      </c>
      <c r="C18" s="29">
        <f>2/38*100%</f>
        <v>5.2631578947368418E-2</v>
      </c>
    </row>
    <row r="19" spans="1:17" ht="15" x14ac:dyDescent="0.25">
      <c r="A19" t="s">
        <v>116</v>
      </c>
      <c r="B19" s="29">
        <v>0.875</v>
      </c>
      <c r="C19" s="29">
        <v>0.12</v>
      </c>
    </row>
    <row r="20" spans="1:17" ht="15" x14ac:dyDescent="0.25">
      <c r="A20" t="s">
        <v>117</v>
      </c>
      <c r="B20" s="29">
        <v>0.81</v>
      </c>
      <c r="C20" s="29">
        <v>0.19</v>
      </c>
    </row>
    <row r="21" spans="1:17" ht="15" x14ac:dyDescent="0.25">
      <c r="B21" s="29"/>
      <c r="C21" s="29"/>
    </row>
    <row r="22" spans="1:17" ht="15" x14ac:dyDescent="0.25">
      <c r="B22" t="s">
        <v>54</v>
      </c>
    </row>
    <row r="23" spans="1:17" ht="15" x14ac:dyDescent="0.25">
      <c r="B23" t="s">
        <v>44</v>
      </c>
      <c r="C23" t="s">
        <v>45</v>
      </c>
    </row>
    <row r="24" spans="1:17" ht="15" x14ac:dyDescent="0.25">
      <c r="A24">
        <v>2016</v>
      </c>
      <c r="B24" s="22">
        <v>0.68</v>
      </c>
      <c r="C24" s="22">
        <v>0.32</v>
      </c>
      <c r="Q24" s="23"/>
    </row>
    <row r="25" spans="1:17" ht="15" x14ac:dyDescent="0.25">
      <c r="A25">
        <v>2017</v>
      </c>
      <c r="B25" s="22">
        <v>0</v>
      </c>
      <c r="C25" s="22">
        <v>0</v>
      </c>
    </row>
    <row r="26" spans="1:17" ht="15" x14ac:dyDescent="0.25">
      <c r="A26">
        <v>2018</v>
      </c>
      <c r="B26" s="22">
        <v>0.75</v>
      </c>
      <c r="C26" s="22">
        <v>0.25</v>
      </c>
    </row>
    <row r="27" spans="1:17" x14ac:dyDescent="0.3">
      <c r="A27">
        <v>2019</v>
      </c>
      <c r="B27" s="22">
        <f>129/160*100%</f>
        <v>0.80625000000000002</v>
      </c>
      <c r="C27" s="22">
        <f>31/160*100%</f>
        <v>0.19375000000000001</v>
      </c>
    </row>
    <row r="28" spans="1:17" x14ac:dyDescent="0.3">
      <c r="A28">
        <v>2020</v>
      </c>
      <c r="B28" s="22">
        <v>0.71</v>
      </c>
      <c r="C28" s="22">
        <v>0.28999999999999998</v>
      </c>
    </row>
    <row r="29" spans="1:17" x14ac:dyDescent="0.3">
      <c r="A29">
        <v>2021</v>
      </c>
      <c r="B29" s="29">
        <f>146/204*100%</f>
        <v>0.71568627450980393</v>
      </c>
      <c r="C29" s="29">
        <f>58/204*100%</f>
        <v>0.28431372549019607</v>
      </c>
    </row>
    <row r="30" spans="1:17" x14ac:dyDescent="0.3">
      <c r="A30">
        <v>2022</v>
      </c>
      <c r="B30" s="29">
        <v>0.76</v>
      </c>
      <c r="C30" s="29">
        <v>0.24</v>
      </c>
    </row>
    <row r="32" spans="1:17" x14ac:dyDescent="0.3">
      <c r="A32" s="81" t="s">
        <v>55</v>
      </c>
      <c r="B32" s="81"/>
      <c r="C32" s="81"/>
    </row>
    <row r="33" spans="1:3" x14ac:dyDescent="0.3">
      <c r="B33" t="s">
        <v>44</v>
      </c>
      <c r="C33" t="s">
        <v>45</v>
      </c>
    </row>
    <row r="34" spans="1:3" x14ac:dyDescent="0.3">
      <c r="A34">
        <v>2016</v>
      </c>
      <c r="B34" s="22">
        <v>0.17</v>
      </c>
      <c r="C34" s="22">
        <v>0.83</v>
      </c>
    </row>
    <row r="35" spans="1:3" x14ac:dyDescent="0.3">
      <c r="A35">
        <v>2017</v>
      </c>
      <c r="B35" s="22">
        <v>0</v>
      </c>
      <c r="C35" s="22">
        <v>0</v>
      </c>
    </row>
    <row r="36" spans="1:3" x14ac:dyDescent="0.3">
      <c r="A36">
        <v>2018</v>
      </c>
      <c r="B36" s="22">
        <v>1</v>
      </c>
      <c r="C36" s="22">
        <v>0</v>
      </c>
    </row>
    <row r="37" spans="1:3" x14ac:dyDescent="0.3">
      <c r="A37">
        <v>2019</v>
      </c>
      <c r="B37" s="22">
        <v>0.82</v>
      </c>
      <c r="C37" s="22">
        <v>0.18</v>
      </c>
    </row>
    <row r="38" spans="1:3" x14ac:dyDescent="0.3">
      <c r="A38">
        <v>2020</v>
      </c>
      <c r="B38" s="22">
        <v>0.85</v>
      </c>
      <c r="C38" s="22">
        <v>0.15</v>
      </c>
    </row>
    <row r="39" spans="1:3" x14ac:dyDescent="0.3">
      <c r="A39">
        <v>2021</v>
      </c>
      <c r="B39" s="29">
        <f>38/40*100%</f>
        <v>0.95</v>
      </c>
      <c r="C39" s="29">
        <f>2/40*100%</f>
        <v>0.05</v>
      </c>
    </row>
    <row r="40" spans="1:3" x14ac:dyDescent="0.3">
      <c r="A40" t="s">
        <v>116</v>
      </c>
      <c r="B40" s="29">
        <v>0.91</v>
      </c>
      <c r="C40" s="29">
        <v>0.09</v>
      </c>
    </row>
    <row r="41" spans="1:3" x14ac:dyDescent="0.3">
      <c r="A41" t="s">
        <v>117</v>
      </c>
      <c r="B41" s="29">
        <v>0.73</v>
      </c>
      <c r="C41" s="29">
        <v>0.27</v>
      </c>
    </row>
    <row r="42" spans="1:3" x14ac:dyDescent="0.3">
      <c r="B42" s="29"/>
      <c r="C42" s="29"/>
    </row>
    <row r="43" spans="1:3" x14ac:dyDescent="0.3">
      <c r="A43" s="26"/>
      <c r="B43" s="26" t="s">
        <v>56</v>
      </c>
      <c r="C43" s="26"/>
    </row>
    <row r="44" spans="1:3" x14ac:dyDescent="0.3">
      <c r="B44" t="s">
        <v>44</v>
      </c>
      <c r="C44" t="s">
        <v>45</v>
      </c>
    </row>
    <row r="45" spans="1:3" x14ac:dyDescent="0.3">
      <c r="A45">
        <v>2016</v>
      </c>
      <c r="B45" s="22">
        <v>0.88</v>
      </c>
      <c r="C45" s="22">
        <v>0.12</v>
      </c>
    </row>
    <row r="46" spans="1:3" x14ac:dyDescent="0.3">
      <c r="A46">
        <v>2017</v>
      </c>
      <c r="B46" s="22">
        <v>0</v>
      </c>
      <c r="C46" s="22">
        <v>0</v>
      </c>
    </row>
    <row r="47" spans="1:3" x14ac:dyDescent="0.3">
      <c r="A47">
        <v>2018</v>
      </c>
      <c r="B47" s="22">
        <v>0.85</v>
      </c>
      <c r="C47" s="22">
        <v>0.15</v>
      </c>
    </row>
    <row r="48" spans="1:3" x14ac:dyDescent="0.3">
      <c r="A48">
        <v>2019</v>
      </c>
      <c r="B48" s="22">
        <v>0.85</v>
      </c>
      <c r="C48" s="22">
        <v>0.15</v>
      </c>
    </row>
    <row r="49" spans="1:3" x14ac:dyDescent="0.3">
      <c r="A49">
        <v>2020</v>
      </c>
      <c r="B49" s="22">
        <v>0.74</v>
      </c>
      <c r="C49" s="22">
        <v>0.26</v>
      </c>
    </row>
    <row r="50" spans="1:3" x14ac:dyDescent="0.3">
      <c r="A50">
        <v>2021</v>
      </c>
      <c r="B50" s="29">
        <f>173/202*100%</f>
        <v>0.85643564356435642</v>
      </c>
      <c r="C50" s="29">
        <f>29/202*100%</f>
        <v>0.14356435643564355</v>
      </c>
    </row>
    <row r="51" spans="1:3" x14ac:dyDescent="0.3">
      <c r="A51">
        <v>2022</v>
      </c>
      <c r="B51" s="29">
        <v>0.82</v>
      </c>
      <c r="C51" s="29">
        <v>0.18</v>
      </c>
    </row>
    <row r="52" spans="1:3" x14ac:dyDescent="0.3">
      <c r="B52" s="29"/>
      <c r="C52" s="29"/>
    </row>
    <row r="53" spans="1:3" x14ac:dyDescent="0.3">
      <c r="A53" s="81" t="s">
        <v>57</v>
      </c>
      <c r="B53" s="81"/>
      <c r="C53" s="81"/>
    </row>
    <row r="54" spans="1:3" x14ac:dyDescent="0.3">
      <c r="B54" t="s">
        <v>44</v>
      </c>
      <c r="C54" t="s">
        <v>45</v>
      </c>
    </row>
    <row r="55" spans="1:3" x14ac:dyDescent="0.3">
      <c r="A55">
        <v>2016</v>
      </c>
      <c r="B55" s="22">
        <v>0.79</v>
      </c>
      <c r="C55" s="22">
        <v>0.21</v>
      </c>
    </row>
    <row r="56" spans="1:3" x14ac:dyDescent="0.3">
      <c r="A56">
        <v>2017</v>
      </c>
      <c r="B56">
        <v>0</v>
      </c>
      <c r="C56">
        <v>0</v>
      </c>
    </row>
    <row r="57" spans="1:3" x14ac:dyDescent="0.3">
      <c r="A57">
        <v>2018</v>
      </c>
      <c r="B57" s="22">
        <v>1</v>
      </c>
      <c r="C57">
        <v>0</v>
      </c>
    </row>
    <row r="58" spans="1:3" x14ac:dyDescent="0.3">
      <c r="A58">
        <v>2019</v>
      </c>
      <c r="B58" s="22">
        <v>0.8</v>
      </c>
      <c r="C58" s="22">
        <v>0.2</v>
      </c>
    </row>
    <row r="59" spans="1:3" x14ac:dyDescent="0.3">
      <c r="A59">
        <v>2020</v>
      </c>
      <c r="B59" s="22">
        <v>0.96</v>
      </c>
      <c r="C59" s="22">
        <v>0.04</v>
      </c>
    </row>
    <row r="60" spans="1:3" x14ac:dyDescent="0.3">
      <c r="A60">
        <v>2021</v>
      </c>
      <c r="B60" s="29">
        <f>13/13*100%</f>
        <v>1</v>
      </c>
      <c r="C60" s="29">
        <f>0/13*100%</f>
        <v>0</v>
      </c>
    </row>
    <row r="61" spans="1:3" x14ac:dyDescent="0.3">
      <c r="A61" t="s">
        <v>116</v>
      </c>
      <c r="B61" s="29">
        <v>0.97</v>
      </c>
      <c r="C61" s="29">
        <v>0.03</v>
      </c>
    </row>
    <row r="62" spans="1:3" x14ac:dyDescent="0.3">
      <c r="A62" t="s">
        <v>117</v>
      </c>
      <c r="B62" s="29">
        <v>0.86</v>
      </c>
      <c r="C62" s="29">
        <v>0.14000000000000001</v>
      </c>
    </row>
    <row r="63" spans="1:3" x14ac:dyDescent="0.3">
      <c r="B63" s="29"/>
      <c r="C63" s="29"/>
    </row>
  </sheetData>
  <mergeCells count="4">
    <mergeCell ref="A53:C53"/>
    <mergeCell ref="A1:C1"/>
    <mergeCell ref="A11:C11"/>
    <mergeCell ref="A32:C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7" zoomScale="89" zoomScaleNormal="89" workbookViewId="0">
      <selection activeCell="W22" sqref="W22"/>
    </sheetView>
  </sheetViews>
  <sheetFormatPr defaultRowHeight="14.4" x14ac:dyDescent="0.3"/>
  <cols>
    <col min="3" max="3" width="11.109375" customWidth="1"/>
    <col min="15" max="15" width="11.5546875" customWidth="1"/>
  </cols>
  <sheetData>
    <row r="1" spans="1:3" ht="15" x14ac:dyDescent="0.25">
      <c r="A1" s="81" t="s">
        <v>48</v>
      </c>
      <c r="B1" s="81"/>
      <c r="C1" s="81"/>
    </row>
    <row r="2" spans="1:3" ht="15" x14ac:dyDescent="0.25">
      <c r="B2" t="s">
        <v>44</v>
      </c>
      <c r="C2" t="s">
        <v>45</v>
      </c>
    </row>
    <row r="3" spans="1:3" ht="15" x14ac:dyDescent="0.25">
      <c r="A3">
        <v>2016</v>
      </c>
      <c r="B3" s="22">
        <f>142/163*100%</f>
        <v>0.87116564417177911</v>
      </c>
      <c r="C3" s="22">
        <f>21/163*100%</f>
        <v>0.12883435582822086</v>
      </c>
    </row>
    <row r="4" spans="1:3" ht="15" x14ac:dyDescent="0.25">
      <c r="A4">
        <v>2017</v>
      </c>
      <c r="B4" s="22">
        <v>0</v>
      </c>
      <c r="C4" s="22">
        <v>0</v>
      </c>
    </row>
    <row r="5" spans="1:3" ht="15" x14ac:dyDescent="0.25">
      <c r="A5">
        <v>2018</v>
      </c>
      <c r="B5" s="22">
        <f>136/162*100%</f>
        <v>0.83950617283950613</v>
      </c>
      <c r="C5" s="22">
        <f>26/162*100%</f>
        <v>0.16049382716049382</v>
      </c>
    </row>
    <row r="6" spans="1:3" ht="15" x14ac:dyDescent="0.25">
      <c r="A6">
        <v>2019</v>
      </c>
      <c r="B6" s="22">
        <f>161/169*100%</f>
        <v>0.9526627218934911</v>
      </c>
      <c r="C6" s="22">
        <f>8/169*100%</f>
        <v>4.7337278106508875E-2</v>
      </c>
    </row>
    <row r="7" spans="1:3" ht="15" x14ac:dyDescent="0.25">
      <c r="A7">
        <v>2020</v>
      </c>
      <c r="B7" s="22">
        <f>135/156*100%</f>
        <v>0.86538461538461542</v>
      </c>
      <c r="C7" s="22">
        <f>21/156*100%</f>
        <v>0.13461538461538461</v>
      </c>
    </row>
    <row r="8" spans="1:3" ht="15" x14ac:dyDescent="0.25">
      <c r="A8">
        <v>2021</v>
      </c>
      <c r="B8" s="29">
        <f>148/175*100%</f>
        <v>0.84571428571428575</v>
      </c>
      <c r="C8" s="29">
        <f>27/175*100%</f>
        <v>0.15428571428571428</v>
      </c>
    </row>
    <row r="9" spans="1:3" ht="15" x14ac:dyDescent="0.25">
      <c r="A9">
        <v>2022</v>
      </c>
      <c r="B9" s="29">
        <v>0.93</v>
      </c>
      <c r="C9" s="29">
        <v>7.0000000000000007E-2</v>
      </c>
    </row>
    <row r="10" spans="1:3" ht="15" x14ac:dyDescent="0.25">
      <c r="B10" s="29"/>
      <c r="C10" s="29"/>
    </row>
    <row r="11" spans="1:3" ht="15" x14ac:dyDescent="0.25">
      <c r="A11" s="81" t="s">
        <v>49</v>
      </c>
      <c r="B11" s="81"/>
      <c r="C11" s="81"/>
    </row>
    <row r="12" spans="1:3" ht="15" x14ac:dyDescent="0.25">
      <c r="B12" t="s">
        <v>44</v>
      </c>
      <c r="C12" t="s">
        <v>45</v>
      </c>
    </row>
    <row r="13" spans="1:3" ht="15" x14ac:dyDescent="0.25">
      <c r="A13">
        <v>2016</v>
      </c>
      <c r="B13" s="22">
        <v>0.93</v>
      </c>
      <c r="C13" s="22">
        <v>7.0000000000000007E-2</v>
      </c>
    </row>
    <row r="14" spans="1:3" ht="15" x14ac:dyDescent="0.25">
      <c r="A14">
        <v>2017</v>
      </c>
      <c r="B14" s="22">
        <v>1</v>
      </c>
      <c r="C14" s="22">
        <v>0</v>
      </c>
    </row>
    <row r="15" spans="1:3" ht="15" x14ac:dyDescent="0.25">
      <c r="A15">
        <v>2018</v>
      </c>
      <c r="B15" s="22">
        <v>1</v>
      </c>
      <c r="C15" s="22">
        <v>0</v>
      </c>
    </row>
    <row r="16" spans="1:3" ht="15" x14ac:dyDescent="0.25">
      <c r="A16">
        <v>2019</v>
      </c>
      <c r="B16" s="22">
        <v>0</v>
      </c>
      <c r="C16" s="22">
        <v>0</v>
      </c>
    </row>
    <row r="17" spans="1:3" ht="15" x14ac:dyDescent="0.25">
      <c r="A17">
        <v>2020</v>
      </c>
      <c r="B17" s="22">
        <v>0.88</v>
      </c>
      <c r="C17" s="22">
        <v>0.12</v>
      </c>
    </row>
    <row r="18" spans="1:3" ht="15" x14ac:dyDescent="0.25">
      <c r="A18">
        <v>2021</v>
      </c>
      <c r="B18" s="29">
        <f>22/22*100%</f>
        <v>1</v>
      </c>
      <c r="C18" s="29">
        <f>0/22*100%</f>
        <v>0</v>
      </c>
    </row>
    <row r="19" spans="1:3" ht="15" x14ac:dyDescent="0.25">
      <c r="A19">
        <v>2022</v>
      </c>
      <c r="B19" s="29">
        <v>1</v>
      </c>
      <c r="C19" s="29">
        <v>0</v>
      </c>
    </row>
    <row r="20" spans="1:3" ht="15" x14ac:dyDescent="0.25">
      <c r="B20" s="29"/>
      <c r="C20" s="29"/>
    </row>
    <row r="21" spans="1:3" ht="15" x14ac:dyDescent="0.25">
      <c r="A21" s="81" t="s">
        <v>50</v>
      </c>
      <c r="B21" s="81"/>
      <c r="C21" s="81"/>
    </row>
    <row r="22" spans="1:3" ht="15" x14ac:dyDescent="0.25">
      <c r="B22" t="s">
        <v>44</v>
      </c>
      <c r="C22" t="s">
        <v>45</v>
      </c>
    </row>
    <row r="23" spans="1:3" ht="15" x14ac:dyDescent="0.25">
      <c r="A23">
        <v>2016</v>
      </c>
      <c r="B23" s="22">
        <f>128/173*100%</f>
        <v>0.73988439306358378</v>
      </c>
      <c r="C23" s="22">
        <f>45/173*100%</f>
        <v>0.26011560693641617</v>
      </c>
    </row>
    <row r="24" spans="1:3" ht="15" x14ac:dyDescent="0.25">
      <c r="A24">
        <v>2017</v>
      </c>
      <c r="B24" s="22">
        <v>0</v>
      </c>
      <c r="C24" s="22">
        <v>0</v>
      </c>
    </row>
    <row r="25" spans="1:3" ht="15" x14ac:dyDescent="0.25">
      <c r="A25">
        <v>2018</v>
      </c>
      <c r="B25" s="22">
        <f>134/173*100%</f>
        <v>0.77456647398843925</v>
      </c>
      <c r="C25" s="22">
        <f>39/173*100%</f>
        <v>0.22543352601156069</v>
      </c>
    </row>
    <row r="26" spans="1:3" ht="15" x14ac:dyDescent="0.25">
      <c r="A26">
        <v>2019</v>
      </c>
      <c r="B26" s="22">
        <f>166/169*100%</f>
        <v>0.98224852071005919</v>
      </c>
      <c r="C26" s="22">
        <f>3/169*100%</f>
        <v>1.7751479289940829E-2</v>
      </c>
    </row>
    <row r="27" spans="1:3" x14ac:dyDescent="0.3">
      <c r="A27">
        <v>2020</v>
      </c>
      <c r="B27" s="22">
        <f>127/156*100%</f>
        <v>0.8141025641025641</v>
      </c>
      <c r="C27" s="22">
        <f>29/156*100%</f>
        <v>0.1858974358974359</v>
      </c>
    </row>
    <row r="28" spans="1:3" x14ac:dyDescent="0.3">
      <c r="A28">
        <v>2021</v>
      </c>
      <c r="B28" s="29">
        <f>170/175*100%</f>
        <v>0.97142857142857142</v>
      </c>
      <c r="C28" s="29">
        <f>5/175*100%</f>
        <v>2.8571428571428571E-2</v>
      </c>
    </row>
    <row r="29" spans="1:3" x14ac:dyDescent="0.3">
      <c r="A29">
        <v>2022</v>
      </c>
      <c r="B29" s="29">
        <v>0.97</v>
      </c>
      <c r="C29" s="29">
        <v>0.03</v>
      </c>
    </row>
    <row r="30" spans="1:3" x14ac:dyDescent="0.3">
      <c r="B30" s="29"/>
      <c r="C30" s="29"/>
    </row>
    <row r="31" spans="1:3" x14ac:dyDescent="0.3">
      <c r="A31" s="81" t="s">
        <v>51</v>
      </c>
      <c r="B31" s="81"/>
      <c r="C31" s="81"/>
    </row>
    <row r="32" spans="1:3" x14ac:dyDescent="0.3">
      <c r="B32" t="s">
        <v>44</v>
      </c>
      <c r="C32" t="s">
        <v>45</v>
      </c>
    </row>
    <row r="33" spans="1:3" x14ac:dyDescent="0.3">
      <c r="A33">
        <v>2016</v>
      </c>
      <c r="B33" s="22">
        <f>13/35*100%</f>
        <v>0.37142857142857144</v>
      </c>
      <c r="C33" s="22">
        <f>22/35*100%</f>
        <v>0.62857142857142856</v>
      </c>
    </row>
    <row r="34" spans="1:3" x14ac:dyDescent="0.3">
      <c r="A34">
        <v>2017</v>
      </c>
      <c r="B34" s="22">
        <f>42/49*100%</f>
        <v>0.8571428571428571</v>
      </c>
      <c r="C34" s="22">
        <f>7/49*100%</f>
        <v>0.14285714285714285</v>
      </c>
    </row>
    <row r="35" spans="1:3" x14ac:dyDescent="0.3">
      <c r="A35">
        <v>2018</v>
      </c>
      <c r="B35" s="22">
        <v>1</v>
      </c>
      <c r="C35" s="22">
        <v>0</v>
      </c>
    </row>
    <row r="36" spans="1:3" x14ac:dyDescent="0.3">
      <c r="A36">
        <v>2019</v>
      </c>
      <c r="B36" s="22">
        <v>0</v>
      </c>
      <c r="C36" s="22">
        <v>0</v>
      </c>
    </row>
    <row r="37" spans="1:3" x14ac:dyDescent="0.3">
      <c r="A37">
        <v>2020</v>
      </c>
      <c r="B37" s="22">
        <f>2/3*100%</f>
        <v>0.66666666666666663</v>
      </c>
      <c r="C37" s="22">
        <f>1/3*100%</f>
        <v>0.33333333333333331</v>
      </c>
    </row>
    <row r="38" spans="1:3" x14ac:dyDescent="0.3">
      <c r="A38">
        <v>2021</v>
      </c>
      <c r="B38" s="29">
        <f>29/30*100%</f>
        <v>0.96666666666666667</v>
      </c>
      <c r="C38" s="29">
        <f>1/30*100%</f>
        <v>3.3333333333333333E-2</v>
      </c>
    </row>
    <row r="39" spans="1:3" x14ac:dyDescent="0.3">
      <c r="A39">
        <v>2022</v>
      </c>
      <c r="B39" s="22">
        <v>1</v>
      </c>
      <c r="C39" s="22">
        <v>0</v>
      </c>
    </row>
  </sheetData>
  <mergeCells count="4">
    <mergeCell ref="A31:C31"/>
    <mergeCell ref="A11:C11"/>
    <mergeCell ref="A1:C1"/>
    <mergeCell ref="A21:C2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topLeftCell="A52" zoomScale="89" zoomScaleNormal="89" workbookViewId="0">
      <selection activeCell="D88" sqref="D88"/>
    </sheetView>
  </sheetViews>
  <sheetFormatPr defaultRowHeight="14.4" x14ac:dyDescent="0.3"/>
  <cols>
    <col min="2" max="2" width="10.33203125" customWidth="1"/>
    <col min="3" max="3" width="12" customWidth="1"/>
    <col min="4" max="4" width="11.6640625" customWidth="1"/>
    <col min="15" max="15" width="11.5546875" bestFit="1" customWidth="1"/>
    <col min="16" max="16" width="10.88671875" customWidth="1"/>
  </cols>
  <sheetData>
    <row r="1" spans="1:3" ht="15" x14ac:dyDescent="0.25">
      <c r="A1" s="81" t="s">
        <v>58</v>
      </c>
      <c r="B1" s="81"/>
      <c r="C1" s="81"/>
    </row>
    <row r="2" spans="1:3" ht="15" x14ac:dyDescent="0.25">
      <c r="B2" t="s">
        <v>44</v>
      </c>
      <c r="C2" t="s">
        <v>45</v>
      </c>
    </row>
    <row r="3" spans="1:3" ht="15" x14ac:dyDescent="0.25">
      <c r="A3">
        <v>2016</v>
      </c>
      <c r="B3" s="22">
        <f>119/169*100%</f>
        <v>0.70414201183431957</v>
      </c>
      <c r="C3" s="22">
        <v>0.3</v>
      </c>
    </row>
    <row r="4" spans="1:3" ht="15" x14ac:dyDescent="0.25">
      <c r="A4">
        <v>2017</v>
      </c>
      <c r="B4" s="22">
        <v>0</v>
      </c>
      <c r="C4" s="22">
        <v>0</v>
      </c>
    </row>
    <row r="5" spans="1:3" ht="15" x14ac:dyDescent="0.25">
      <c r="A5">
        <v>2018</v>
      </c>
      <c r="B5" s="22">
        <f>147/174*100%</f>
        <v>0.84482758620689657</v>
      </c>
      <c r="C5" s="22">
        <f>27/174*100%</f>
        <v>0.15517241379310345</v>
      </c>
    </row>
    <row r="6" spans="1:3" ht="15" x14ac:dyDescent="0.25">
      <c r="A6">
        <v>2019</v>
      </c>
      <c r="B6" s="22">
        <v>0.57999999999999996</v>
      </c>
      <c r="C6" s="22">
        <v>0.42</v>
      </c>
    </row>
    <row r="7" spans="1:3" ht="15" x14ac:dyDescent="0.25">
      <c r="A7">
        <v>2020</v>
      </c>
      <c r="B7" s="22">
        <f>147/170*100%</f>
        <v>0.86470588235294121</v>
      </c>
      <c r="C7" s="22">
        <f>23/170*100%</f>
        <v>0.13529411764705881</v>
      </c>
    </row>
    <row r="8" spans="1:3" ht="15" x14ac:dyDescent="0.25">
      <c r="A8">
        <v>2021</v>
      </c>
      <c r="B8" s="29">
        <f>128/157*100%</f>
        <v>0.8152866242038217</v>
      </c>
      <c r="C8" s="29">
        <f>29/157*100%</f>
        <v>0.18471337579617833</v>
      </c>
    </row>
    <row r="9" spans="1:3" ht="15" x14ac:dyDescent="0.25">
      <c r="A9" t="s">
        <v>118</v>
      </c>
      <c r="B9" s="29">
        <v>0.85</v>
      </c>
      <c r="C9" s="29">
        <v>0.15</v>
      </c>
    </row>
    <row r="10" spans="1:3" ht="15" x14ac:dyDescent="0.25">
      <c r="A10" t="s">
        <v>120</v>
      </c>
      <c r="B10" s="29">
        <v>0.86</v>
      </c>
      <c r="C10" s="29">
        <v>0.14000000000000001</v>
      </c>
    </row>
    <row r="11" spans="1:3" ht="15" x14ac:dyDescent="0.25">
      <c r="B11" s="29"/>
      <c r="C11" s="29"/>
    </row>
    <row r="12" spans="1:3" ht="15" x14ac:dyDescent="0.25">
      <c r="A12" s="81" t="s">
        <v>59</v>
      </c>
      <c r="B12" s="81"/>
      <c r="C12" s="81"/>
    </row>
    <row r="13" spans="1:3" ht="15" x14ac:dyDescent="0.25">
      <c r="B13" t="s">
        <v>44</v>
      </c>
      <c r="C13" t="s">
        <v>45</v>
      </c>
    </row>
    <row r="14" spans="1:3" ht="15" x14ac:dyDescent="0.25">
      <c r="A14">
        <v>2016</v>
      </c>
      <c r="B14" s="22">
        <v>0</v>
      </c>
      <c r="C14" s="22">
        <v>0</v>
      </c>
    </row>
    <row r="15" spans="1:3" ht="15" x14ac:dyDescent="0.25">
      <c r="A15">
        <v>2017</v>
      </c>
      <c r="B15" s="22">
        <f>40/51*100%</f>
        <v>0.78431372549019607</v>
      </c>
      <c r="C15" s="22">
        <f>11/51*100%</f>
        <v>0.21568627450980393</v>
      </c>
    </row>
    <row r="16" spans="1:3" ht="15" x14ac:dyDescent="0.25">
      <c r="A16">
        <v>2018</v>
      </c>
      <c r="B16" s="22">
        <f>26/27*100%</f>
        <v>0.96296296296296291</v>
      </c>
      <c r="C16" s="22">
        <f>1/27*100%</f>
        <v>3.7037037037037035E-2</v>
      </c>
    </row>
    <row r="17" spans="1:3" ht="15" x14ac:dyDescent="0.25">
      <c r="A17">
        <v>2019</v>
      </c>
      <c r="B17" s="22">
        <f>28/37*100%</f>
        <v>0.7567567567567568</v>
      </c>
      <c r="C17" s="22">
        <f>9/37*100%</f>
        <v>0.24324324324324326</v>
      </c>
    </row>
    <row r="18" spans="1:3" ht="15" x14ac:dyDescent="0.25">
      <c r="A18">
        <v>2020</v>
      </c>
      <c r="B18" s="22">
        <v>0</v>
      </c>
      <c r="C18" s="22">
        <v>0</v>
      </c>
    </row>
    <row r="19" spans="1:3" ht="15" x14ac:dyDescent="0.25">
      <c r="A19">
        <v>2021</v>
      </c>
      <c r="B19" s="22">
        <f>22/24*100%</f>
        <v>0.91666666666666663</v>
      </c>
      <c r="C19" s="22">
        <f>2/24*100%</f>
        <v>8.3333333333333329E-2</v>
      </c>
    </row>
    <row r="20" spans="1:3" ht="15" x14ac:dyDescent="0.25">
      <c r="A20" t="s">
        <v>119</v>
      </c>
      <c r="B20" s="22">
        <v>0.93</v>
      </c>
      <c r="C20" s="22">
        <v>7.0000000000000007E-2</v>
      </c>
    </row>
    <row r="21" spans="1:3" ht="15" x14ac:dyDescent="0.25">
      <c r="A21" t="s">
        <v>122</v>
      </c>
      <c r="B21" s="22">
        <v>0.9</v>
      </c>
      <c r="C21" s="22">
        <v>0.1</v>
      </c>
    </row>
    <row r="22" spans="1:3" ht="15" x14ac:dyDescent="0.25">
      <c r="B22" s="22"/>
      <c r="C22" s="22"/>
    </row>
    <row r="23" spans="1:3" ht="15" x14ac:dyDescent="0.25">
      <c r="A23" s="81" t="s">
        <v>60</v>
      </c>
      <c r="B23" s="81"/>
      <c r="C23" s="81"/>
    </row>
    <row r="24" spans="1:3" ht="15" x14ac:dyDescent="0.25">
      <c r="B24" s="22" t="s">
        <v>44</v>
      </c>
      <c r="C24" s="22" t="s">
        <v>45</v>
      </c>
    </row>
    <row r="25" spans="1:3" ht="15" x14ac:dyDescent="0.25">
      <c r="A25">
        <v>2016</v>
      </c>
      <c r="B25" s="22">
        <v>0.69</v>
      </c>
      <c r="C25" s="22">
        <v>0.31</v>
      </c>
    </row>
    <row r="26" spans="1:3" ht="15" x14ac:dyDescent="0.25">
      <c r="A26">
        <v>2017</v>
      </c>
      <c r="B26" s="22">
        <v>0</v>
      </c>
      <c r="C26" s="22">
        <v>0</v>
      </c>
    </row>
    <row r="27" spans="1:3" ht="15" x14ac:dyDescent="0.25">
      <c r="A27">
        <v>2018</v>
      </c>
      <c r="B27" s="22">
        <v>0.87</v>
      </c>
      <c r="C27" s="22">
        <v>0.13</v>
      </c>
    </row>
    <row r="28" spans="1:3" ht="15" x14ac:dyDescent="0.25">
      <c r="A28">
        <v>2019</v>
      </c>
      <c r="B28" s="22">
        <v>0.57999999999999996</v>
      </c>
      <c r="C28" s="22">
        <v>0.42</v>
      </c>
    </row>
    <row r="29" spans="1:3" x14ac:dyDescent="0.3">
      <c r="A29">
        <v>2020</v>
      </c>
      <c r="B29" s="22">
        <v>0.97</v>
      </c>
      <c r="C29" s="22">
        <v>0.03</v>
      </c>
    </row>
    <row r="30" spans="1:3" x14ac:dyDescent="0.3">
      <c r="A30">
        <v>2021</v>
      </c>
      <c r="B30" s="29">
        <f>145/155*100%</f>
        <v>0.93548387096774188</v>
      </c>
      <c r="C30" s="29">
        <f>10/155*100%</f>
        <v>6.4516129032258063E-2</v>
      </c>
    </row>
    <row r="31" spans="1:3" x14ac:dyDescent="0.3">
      <c r="A31" t="s">
        <v>118</v>
      </c>
      <c r="B31" s="29">
        <v>0.99</v>
      </c>
      <c r="C31" s="29">
        <v>0.01</v>
      </c>
    </row>
    <row r="32" spans="1:3" x14ac:dyDescent="0.3">
      <c r="A32" t="s">
        <v>121</v>
      </c>
      <c r="B32" s="29">
        <v>0.9</v>
      </c>
      <c r="C32" s="29">
        <v>0.1</v>
      </c>
    </row>
    <row r="33" spans="1:3" x14ac:dyDescent="0.3">
      <c r="B33" s="29"/>
      <c r="C33" s="29"/>
    </row>
    <row r="34" spans="1:3" x14ac:dyDescent="0.3">
      <c r="A34" s="81" t="s">
        <v>61</v>
      </c>
      <c r="B34" s="81"/>
      <c r="C34" s="81"/>
    </row>
    <row r="35" spans="1:3" x14ac:dyDescent="0.3">
      <c r="B35" s="22" t="s">
        <v>44</v>
      </c>
      <c r="C35" s="22" t="s">
        <v>45</v>
      </c>
    </row>
    <row r="36" spans="1:3" x14ac:dyDescent="0.3">
      <c r="A36">
        <v>2016</v>
      </c>
      <c r="B36" s="22">
        <v>0</v>
      </c>
      <c r="C36" s="22">
        <v>0</v>
      </c>
    </row>
    <row r="37" spans="1:3" x14ac:dyDescent="0.3">
      <c r="A37">
        <v>2017</v>
      </c>
      <c r="B37" s="22">
        <f>41/54*100%</f>
        <v>0.7592592592592593</v>
      </c>
      <c r="C37" s="22">
        <f>13/54*100%</f>
        <v>0.24074074074074073</v>
      </c>
    </row>
    <row r="38" spans="1:3" x14ac:dyDescent="0.3">
      <c r="A38">
        <v>2018</v>
      </c>
      <c r="B38" s="22">
        <f>22/24*100%</f>
        <v>0.91666666666666663</v>
      </c>
      <c r="C38" s="22">
        <f>2/24*100%</f>
        <v>8.3333333333333329E-2</v>
      </c>
    </row>
    <row r="39" spans="1:3" x14ac:dyDescent="0.3">
      <c r="A39">
        <v>2019</v>
      </c>
      <c r="B39" s="22">
        <f>34/36*100%</f>
        <v>0.94444444444444442</v>
      </c>
      <c r="C39" s="22">
        <f>2/36*100%</f>
        <v>5.5555555555555552E-2</v>
      </c>
    </row>
    <row r="40" spans="1:3" x14ac:dyDescent="0.3">
      <c r="A40">
        <v>2020</v>
      </c>
      <c r="B40" s="22">
        <v>0</v>
      </c>
      <c r="C40" s="22">
        <v>0</v>
      </c>
    </row>
    <row r="41" spans="1:3" x14ac:dyDescent="0.3">
      <c r="A41">
        <v>2021</v>
      </c>
      <c r="B41" s="22">
        <f>7/7*100%</f>
        <v>1</v>
      </c>
      <c r="C41" s="22">
        <f>0/7*100%</f>
        <v>0</v>
      </c>
    </row>
    <row r="42" spans="1:3" x14ac:dyDescent="0.3">
      <c r="A42" t="s">
        <v>119</v>
      </c>
      <c r="B42" s="22">
        <v>0.9</v>
      </c>
      <c r="C42" s="22">
        <v>0.1</v>
      </c>
    </row>
    <row r="43" spans="1:3" x14ac:dyDescent="0.3">
      <c r="A43" t="s">
        <v>122</v>
      </c>
      <c r="B43" s="22">
        <v>1</v>
      </c>
      <c r="C43" s="22">
        <v>0</v>
      </c>
    </row>
    <row r="44" spans="1:3" x14ac:dyDescent="0.3">
      <c r="B44" s="22"/>
      <c r="C44" s="22"/>
    </row>
    <row r="45" spans="1:3" x14ac:dyDescent="0.3">
      <c r="A45" s="81" t="s">
        <v>62</v>
      </c>
      <c r="B45" s="81"/>
      <c r="C45" s="81"/>
    </row>
    <row r="46" spans="1:3" x14ac:dyDescent="0.3">
      <c r="B46" s="22" t="s">
        <v>44</v>
      </c>
      <c r="C46" s="22" t="s">
        <v>45</v>
      </c>
    </row>
    <row r="47" spans="1:3" x14ac:dyDescent="0.3">
      <c r="A47">
        <v>2016</v>
      </c>
      <c r="B47" s="22">
        <f>97/177*100%</f>
        <v>0.54802259887005644</v>
      </c>
      <c r="C47" s="22">
        <f>80/177*100%</f>
        <v>0.4519774011299435</v>
      </c>
    </row>
    <row r="48" spans="1:3" x14ac:dyDescent="0.3">
      <c r="A48">
        <v>2017</v>
      </c>
      <c r="B48" s="22">
        <v>0</v>
      </c>
      <c r="C48" s="22">
        <v>0</v>
      </c>
    </row>
    <row r="49" spans="1:3" x14ac:dyDescent="0.3">
      <c r="A49">
        <v>2018</v>
      </c>
      <c r="B49" s="22">
        <f>121/170*100%</f>
        <v>0.71176470588235297</v>
      </c>
      <c r="C49" s="22">
        <f>49/170*100%</f>
        <v>0.28823529411764703</v>
      </c>
    </row>
    <row r="50" spans="1:3" x14ac:dyDescent="0.3">
      <c r="A50">
        <v>2019</v>
      </c>
      <c r="B50" s="22">
        <f>95/164*100%</f>
        <v>0.57926829268292679</v>
      </c>
      <c r="C50" s="22">
        <f>69/164*100%</f>
        <v>0.42073170731707316</v>
      </c>
    </row>
    <row r="51" spans="1:3" x14ac:dyDescent="0.3">
      <c r="A51">
        <v>2020</v>
      </c>
      <c r="B51" s="22">
        <f>152/171*100%</f>
        <v>0.88888888888888884</v>
      </c>
      <c r="C51" s="22">
        <f>19/171*100%</f>
        <v>0.1111111111111111</v>
      </c>
    </row>
    <row r="52" spans="1:3" x14ac:dyDescent="0.3">
      <c r="A52">
        <v>2021</v>
      </c>
      <c r="B52" s="29">
        <f>129/157*100%</f>
        <v>0.82165605095541405</v>
      </c>
      <c r="C52" s="29">
        <f>28/157*100%</f>
        <v>0.17834394904458598</v>
      </c>
    </row>
    <row r="53" spans="1:3" x14ac:dyDescent="0.3">
      <c r="A53" t="s">
        <v>118</v>
      </c>
      <c r="B53" s="29">
        <v>0.82</v>
      </c>
      <c r="C53" s="29">
        <v>0.18</v>
      </c>
    </row>
    <row r="54" spans="1:3" x14ac:dyDescent="0.3">
      <c r="A54" t="s">
        <v>121</v>
      </c>
      <c r="B54" s="29">
        <v>0.85</v>
      </c>
      <c r="C54" s="29">
        <v>0.15</v>
      </c>
    </row>
    <row r="55" spans="1:3" x14ac:dyDescent="0.3">
      <c r="B55" s="29"/>
      <c r="C55" s="29"/>
    </row>
    <row r="56" spans="1:3" x14ac:dyDescent="0.3">
      <c r="A56" s="81" t="s">
        <v>63</v>
      </c>
      <c r="B56" s="81"/>
      <c r="C56" s="81"/>
    </row>
    <row r="57" spans="1:3" x14ac:dyDescent="0.3">
      <c r="B57" s="22" t="s">
        <v>44</v>
      </c>
      <c r="C57" s="22" t="s">
        <v>45</v>
      </c>
    </row>
    <row r="58" spans="1:3" x14ac:dyDescent="0.3">
      <c r="A58">
        <v>2016</v>
      </c>
      <c r="B58" s="22">
        <v>0</v>
      </c>
      <c r="C58" s="22">
        <v>0</v>
      </c>
    </row>
    <row r="59" spans="1:3" x14ac:dyDescent="0.3">
      <c r="A59">
        <v>2017</v>
      </c>
      <c r="B59" s="22">
        <f>73/81*100%</f>
        <v>0.90123456790123457</v>
      </c>
      <c r="C59" s="22">
        <f>8/81*100%</f>
        <v>9.8765432098765427E-2</v>
      </c>
    </row>
    <row r="60" spans="1:3" x14ac:dyDescent="0.3">
      <c r="A60">
        <v>2018</v>
      </c>
      <c r="B60" s="22">
        <f>46/49*100%</f>
        <v>0.93877551020408168</v>
      </c>
      <c r="C60" s="22">
        <f>3/49*100%</f>
        <v>6.1224489795918366E-2</v>
      </c>
    </row>
    <row r="61" spans="1:3" x14ac:dyDescent="0.3">
      <c r="A61">
        <v>2019</v>
      </c>
      <c r="B61" s="22">
        <f>53/56*100%</f>
        <v>0.9464285714285714</v>
      </c>
      <c r="C61" s="22">
        <f>3/56*100%</f>
        <v>5.3571428571428568E-2</v>
      </c>
    </row>
    <row r="62" spans="1:3" x14ac:dyDescent="0.3">
      <c r="A62">
        <v>2020</v>
      </c>
      <c r="B62" s="22">
        <v>0</v>
      </c>
      <c r="C62" s="22">
        <v>0</v>
      </c>
    </row>
    <row r="63" spans="1:3" x14ac:dyDescent="0.3">
      <c r="A63">
        <v>2021</v>
      </c>
      <c r="B63" s="29">
        <f>18/20*100%</f>
        <v>0.9</v>
      </c>
      <c r="C63" s="29">
        <f>2/20*100%</f>
        <v>0.1</v>
      </c>
    </row>
    <row r="64" spans="1:3" x14ac:dyDescent="0.3">
      <c r="A64" t="s">
        <v>119</v>
      </c>
      <c r="B64" s="29">
        <v>0.93</v>
      </c>
      <c r="C64" s="29">
        <v>7.0000000000000007E-2</v>
      </c>
    </row>
    <row r="65" spans="1:3" x14ac:dyDescent="0.3">
      <c r="A65" t="s">
        <v>122</v>
      </c>
      <c r="B65" s="29">
        <v>0.86</v>
      </c>
      <c r="C65" s="29">
        <v>0.14000000000000001</v>
      </c>
    </row>
    <row r="67" spans="1:3" x14ac:dyDescent="0.3">
      <c r="A67" s="81" t="s">
        <v>64</v>
      </c>
      <c r="B67" s="81"/>
      <c r="C67" s="81"/>
    </row>
    <row r="68" spans="1:3" x14ac:dyDescent="0.3">
      <c r="B68" s="22" t="s">
        <v>44</v>
      </c>
      <c r="C68" s="22" t="s">
        <v>45</v>
      </c>
    </row>
    <row r="69" spans="1:3" x14ac:dyDescent="0.3">
      <c r="A69">
        <v>2016</v>
      </c>
      <c r="B69" s="22">
        <f>169/229*100%</f>
        <v>0.73799126637554591</v>
      </c>
      <c r="C69" s="22">
        <f>60/229*100%</f>
        <v>0.26200873362445415</v>
      </c>
    </row>
    <row r="70" spans="1:3" x14ac:dyDescent="0.3">
      <c r="A70">
        <v>2017</v>
      </c>
      <c r="B70" s="22">
        <v>0</v>
      </c>
      <c r="C70" s="22">
        <v>0</v>
      </c>
    </row>
    <row r="71" spans="1:3" x14ac:dyDescent="0.3">
      <c r="A71">
        <v>2018</v>
      </c>
      <c r="B71" s="22">
        <f>146/171*100%</f>
        <v>0.85380116959064323</v>
      </c>
      <c r="C71" s="22">
        <f>25/171*100%</f>
        <v>0.14619883040935672</v>
      </c>
    </row>
    <row r="72" spans="1:3" x14ac:dyDescent="0.3">
      <c r="A72">
        <v>2019</v>
      </c>
      <c r="B72" s="22">
        <f>94/163*100%</f>
        <v>0.57668711656441718</v>
      </c>
      <c r="C72" s="22">
        <f>69/163*100%</f>
        <v>0.42331288343558282</v>
      </c>
    </row>
    <row r="73" spans="1:3" x14ac:dyDescent="0.3">
      <c r="A73">
        <v>2020</v>
      </c>
      <c r="B73" s="22">
        <f>145/175*100%</f>
        <v>0.82857142857142863</v>
      </c>
      <c r="C73" s="22">
        <f>30/175*100%</f>
        <v>0.17142857142857143</v>
      </c>
    </row>
    <row r="74" spans="1:3" x14ac:dyDescent="0.3">
      <c r="A74">
        <v>2021</v>
      </c>
      <c r="B74" s="29">
        <f>122/156*100%</f>
        <v>0.78205128205128205</v>
      </c>
      <c r="C74" s="29">
        <f>34/156*100%</f>
        <v>0.21794871794871795</v>
      </c>
    </row>
    <row r="75" spans="1:3" x14ac:dyDescent="0.3">
      <c r="A75" t="s">
        <v>118</v>
      </c>
      <c r="B75" s="29">
        <v>0.9</v>
      </c>
      <c r="C75" s="29">
        <v>0.1</v>
      </c>
    </row>
    <row r="76" spans="1:3" x14ac:dyDescent="0.3">
      <c r="A76" t="s">
        <v>121</v>
      </c>
      <c r="B76" s="29">
        <v>0.81</v>
      </c>
      <c r="C76" s="29">
        <v>0.19</v>
      </c>
    </row>
    <row r="77" spans="1:3" x14ac:dyDescent="0.3">
      <c r="B77" s="29"/>
      <c r="C77" s="29"/>
    </row>
    <row r="78" spans="1:3" x14ac:dyDescent="0.3">
      <c r="A78" s="81" t="s">
        <v>65</v>
      </c>
      <c r="B78" s="81"/>
      <c r="C78" s="81"/>
    </row>
    <row r="79" spans="1:3" x14ac:dyDescent="0.3">
      <c r="B79" s="22" t="s">
        <v>44</v>
      </c>
      <c r="C79" s="22" t="s">
        <v>45</v>
      </c>
    </row>
    <row r="80" spans="1:3" x14ac:dyDescent="0.3">
      <c r="A80">
        <v>2016</v>
      </c>
      <c r="B80" s="22">
        <v>0</v>
      </c>
      <c r="C80" s="22">
        <v>0</v>
      </c>
    </row>
    <row r="81" spans="1:3" x14ac:dyDescent="0.3">
      <c r="A81">
        <v>2017</v>
      </c>
      <c r="B81" s="22">
        <f>53/61*100%</f>
        <v>0.86885245901639341</v>
      </c>
      <c r="C81" s="22">
        <f>8/61*100%</f>
        <v>0.13114754098360656</v>
      </c>
    </row>
    <row r="82" spans="1:3" x14ac:dyDescent="0.3">
      <c r="A82">
        <v>2018</v>
      </c>
      <c r="B82" s="22">
        <f>23/25*100%</f>
        <v>0.92</v>
      </c>
      <c r="C82" s="22">
        <f>2/25*100%</f>
        <v>0.08</v>
      </c>
    </row>
    <row r="83" spans="1:3" x14ac:dyDescent="0.3">
      <c r="A83">
        <v>2019</v>
      </c>
      <c r="B83" s="22">
        <f>24/27*100%</f>
        <v>0.88888888888888884</v>
      </c>
      <c r="C83" s="22">
        <f>3/27*100%</f>
        <v>0.1111111111111111</v>
      </c>
    </row>
    <row r="84" spans="1:3" x14ac:dyDescent="0.3">
      <c r="A84">
        <v>2020</v>
      </c>
      <c r="B84" s="22">
        <v>0</v>
      </c>
      <c r="C84" s="22">
        <v>0</v>
      </c>
    </row>
    <row r="85" spans="1:3" x14ac:dyDescent="0.3">
      <c r="A85">
        <v>2021</v>
      </c>
      <c r="B85" s="29">
        <f>30/31*100%</f>
        <v>0.967741935483871</v>
      </c>
      <c r="C85" s="29">
        <f>1/31*100%</f>
        <v>3.2258064516129031E-2</v>
      </c>
    </row>
    <row r="86" spans="1:3" x14ac:dyDescent="0.3">
      <c r="A86" t="s">
        <v>119</v>
      </c>
      <c r="B86" s="29">
        <v>0.97</v>
      </c>
      <c r="C86" s="29">
        <v>0.03</v>
      </c>
    </row>
    <row r="87" spans="1:3" x14ac:dyDescent="0.3">
      <c r="A87" t="s">
        <v>122</v>
      </c>
      <c r="B87" s="29">
        <v>0.65</v>
      </c>
      <c r="C87" s="29">
        <v>0.35</v>
      </c>
    </row>
  </sheetData>
  <mergeCells count="8">
    <mergeCell ref="A45:C45"/>
    <mergeCell ref="A56:C56"/>
    <mergeCell ref="A67:C67"/>
    <mergeCell ref="A78:C78"/>
    <mergeCell ref="A1:C1"/>
    <mergeCell ref="A12:C12"/>
    <mergeCell ref="A23:C23"/>
    <mergeCell ref="A34:C34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opLeftCell="A65" zoomScale="82" zoomScaleNormal="82" workbookViewId="0">
      <selection activeCell="D101" sqref="D101"/>
    </sheetView>
  </sheetViews>
  <sheetFormatPr defaultRowHeight="14.4" x14ac:dyDescent="0.3"/>
  <cols>
    <col min="2" max="2" width="10.5546875" customWidth="1"/>
    <col min="3" max="3" width="13.5546875" customWidth="1"/>
    <col min="14" max="14" width="11" customWidth="1"/>
    <col min="15" max="15" width="11.5546875" customWidth="1"/>
    <col min="16" max="16" width="13.6640625" customWidth="1"/>
  </cols>
  <sheetData>
    <row r="1" spans="1:3" ht="15" x14ac:dyDescent="0.25">
      <c r="A1" s="81" t="s">
        <v>66</v>
      </c>
      <c r="B1" s="81"/>
      <c r="C1" s="81"/>
    </row>
    <row r="2" spans="1:3" ht="15" x14ac:dyDescent="0.25">
      <c r="B2" t="s">
        <v>44</v>
      </c>
      <c r="C2" t="s">
        <v>45</v>
      </c>
    </row>
    <row r="3" spans="1:3" ht="15" x14ac:dyDescent="0.25">
      <c r="A3">
        <v>2016</v>
      </c>
      <c r="B3" s="22">
        <f>111/121*100%</f>
        <v>0.9173553719008265</v>
      </c>
      <c r="C3" s="22">
        <f>10/121*100%</f>
        <v>8.2644628099173556E-2</v>
      </c>
    </row>
    <row r="4" spans="1:3" ht="15" x14ac:dyDescent="0.25">
      <c r="A4">
        <v>2017</v>
      </c>
      <c r="B4" s="22">
        <v>0</v>
      </c>
      <c r="C4" s="22">
        <v>0</v>
      </c>
    </row>
    <row r="5" spans="1:3" ht="15" x14ac:dyDescent="0.25">
      <c r="A5">
        <v>2018</v>
      </c>
      <c r="B5" s="22">
        <v>0</v>
      </c>
      <c r="C5" s="22">
        <v>0</v>
      </c>
    </row>
    <row r="6" spans="1:3" ht="15" x14ac:dyDescent="0.25">
      <c r="A6">
        <v>2019</v>
      </c>
      <c r="B6" s="22">
        <f>133/159*100%</f>
        <v>0.83647798742138368</v>
      </c>
      <c r="C6" s="22">
        <v>0.16</v>
      </c>
    </row>
    <row r="7" spans="1:3" ht="15" x14ac:dyDescent="0.25">
      <c r="A7">
        <v>2020</v>
      </c>
      <c r="B7" s="22">
        <f>148/166*100%</f>
        <v>0.89156626506024095</v>
      </c>
      <c r="C7" s="22">
        <f>18/166*100%</f>
        <v>0.10843373493975904</v>
      </c>
    </row>
    <row r="8" spans="1:3" x14ac:dyDescent="0.3">
      <c r="A8">
        <v>2021</v>
      </c>
      <c r="B8" s="29">
        <f>153/158*100%</f>
        <v>0.96835443037974689</v>
      </c>
      <c r="C8" s="29">
        <f>5/158*100%</f>
        <v>3.1645569620253167E-2</v>
      </c>
    </row>
    <row r="9" spans="1:3" ht="15" x14ac:dyDescent="0.25">
      <c r="A9">
        <v>2022</v>
      </c>
      <c r="B9" s="29">
        <v>0.93</v>
      </c>
      <c r="C9" s="29">
        <v>7.0000000000000007E-2</v>
      </c>
    </row>
    <row r="10" spans="1:3" ht="15" x14ac:dyDescent="0.25">
      <c r="B10" s="29"/>
      <c r="C10" s="29"/>
    </row>
    <row r="11" spans="1:3" ht="15" x14ac:dyDescent="0.25">
      <c r="A11" s="81" t="s">
        <v>67</v>
      </c>
      <c r="B11" s="81"/>
      <c r="C11" s="81"/>
    </row>
    <row r="12" spans="1:3" ht="15" x14ac:dyDescent="0.25">
      <c r="B12" t="s">
        <v>44</v>
      </c>
      <c r="C12" t="s">
        <v>45</v>
      </c>
    </row>
    <row r="13" spans="1:3" ht="15" x14ac:dyDescent="0.25">
      <c r="A13">
        <v>2016</v>
      </c>
      <c r="B13" s="22">
        <f>10/12*100%</f>
        <v>0.83333333333333337</v>
      </c>
      <c r="C13" s="22">
        <f>2/12*100%</f>
        <v>0.16666666666666666</v>
      </c>
    </row>
    <row r="14" spans="1:3" x14ac:dyDescent="0.3">
      <c r="A14">
        <v>2017</v>
      </c>
      <c r="B14" s="22">
        <f>26/29*100%</f>
        <v>0.89655172413793105</v>
      </c>
      <c r="C14" s="22">
        <f>3/29*100%</f>
        <v>0.10344827586206896</v>
      </c>
    </row>
    <row r="15" spans="1:3" ht="15" x14ac:dyDescent="0.25">
      <c r="A15">
        <v>2018</v>
      </c>
      <c r="B15" s="22">
        <v>0</v>
      </c>
      <c r="C15" s="22">
        <v>1</v>
      </c>
    </row>
    <row r="16" spans="1:3" ht="15" x14ac:dyDescent="0.25">
      <c r="A16">
        <v>2019</v>
      </c>
      <c r="B16" s="22">
        <f>28/36*100%</f>
        <v>0.77777777777777779</v>
      </c>
      <c r="C16" s="22">
        <f>8/36*100%</f>
        <v>0.22222222222222221</v>
      </c>
    </row>
    <row r="17" spans="1:3" ht="15" x14ac:dyDescent="0.25">
      <c r="A17">
        <v>2020</v>
      </c>
      <c r="B17" s="22">
        <f>16/19*100%</f>
        <v>0.84210526315789469</v>
      </c>
      <c r="C17" s="22">
        <f>3/19*100%</f>
        <v>0.15789473684210525</v>
      </c>
    </row>
    <row r="18" spans="1:3" ht="15" x14ac:dyDescent="0.25">
      <c r="A18">
        <v>2021</v>
      </c>
      <c r="B18" s="29">
        <f>8/12*100%</f>
        <v>0.66666666666666663</v>
      </c>
      <c r="C18" s="29">
        <f>4/12*100%</f>
        <v>0.33333333333333331</v>
      </c>
    </row>
    <row r="19" spans="1:3" ht="15" x14ac:dyDescent="0.25">
      <c r="A19">
        <v>2022</v>
      </c>
      <c r="B19" s="29">
        <v>1</v>
      </c>
      <c r="C19" s="29">
        <v>0</v>
      </c>
    </row>
    <row r="20" spans="1:3" ht="15" x14ac:dyDescent="0.25">
      <c r="B20" s="29"/>
      <c r="C20" s="29"/>
    </row>
    <row r="21" spans="1:3" ht="15" x14ac:dyDescent="0.25">
      <c r="A21" s="81" t="s">
        <v>68</v>
      </c>
      <c r="B21" s="81"/>
      <c r="C21" s="81"/>
    </row>
    <row r="22" spans="1:3" ht="15" x14ac:dyDescent="0.25">
      <c r="B22" t="s">
        <v>44</v>
      </c>
      <c r="C22" t="s">
        <v>45</v>
      </c>
    </row>
    <row r="23" spans="1:3" ht="15" x14ac:dyDescent="0.25">
      <c r="A23">
        <v>2016</v>
      </c>
      <c r="B23" s="22">
        <f>96/126*100%</f>
        <v>0.76190476190476186</v>
      </c>
      <c r="C23" s="22">
        <f>30/126*100%</f>
        <v>0.23809523809523808</v>
      </c>
    </row>
    <row r="24" spans="1:3" ht="15" x14ac:dyDescent="0.25">
      <c r="A24">
        <v>2017</v>
      </c>
      <c r="B24" s="22">
        <v>0</v>
      </c>
      <c r="C24" s="22">
        <v>0</v>
      </c>
    </row>
    <row r="25" spans="1:3" ht="15" x14ac:dyDescent="0.25">
      <c r="A25">
        <v>2018</v>
      </c>
      <c r="B25" s="22">
        <v>0</v>
      </c>
      <c r="C25" s="22">
        <v>0</v>
      </c>
    </row>
    <row r="26" spans="1:3" ht="15" x14ac:dyDescent="0.25">
      <c r="A26">
        <v>2019</v>
      </c>
      <c r="B26" s="22">
        <f>109/159*100%</f>
        <v>0.68553459119496851</v>
      </c>
      <c r="C26" s="22">
        <f>50/159*100%</f>
        <v>0.31446540880503143</v>
      </c>
    </row>
    <row r="27" spans="1:3" ht="15" x14ac:dyDescent="0.25">
      <c r="A27">
        <v>2020</v>
      </c>
      <c r="B27" s="22">
        <f>152/175*100%</f>
        <v>0.86857142857142855</v>
      </c>
      <c r="C27" s="22">
        <f>23/175*100%</f>
        <v>0.13142857142857142</v>
      </c>
    </row>
    <row r="28" spans="1:3" ht="15" x14ac:dyDescent="0.25">
      <c r="A28">
        <v>2021</v>
      </c>
      <c r="B28" s="29">
        <f>152/156*100%</f>
        <v>0.97435897435897434</v>
      </c>
      <c r="C28" s="29">
        <f>4/156*100%</f>
        <v>2.564102564102564E-2</v>
      </c>
    </row>
    <row r="29" spans="1:3" x14ac:dyDescent="0.3">
      <c r="A29">
        <v>2022</v>
      </c>
      <c r="B29" s="29">
        <v>0.94</v>
      </c>
      <c r="C29" s="29">
        <v>0.06</v>
      </c>
    </row>
    <row r="30" spans="1:3" x14ac:dyDescent="0.3">
      <c r="B30" s="29"/>
      <c r="C30" s="29"/>
    </row>
    <row r="31" spans="1:3" x14ac:dyDescent="0.3">
      <c r="A31" s="81" t="s">
        <v>69</v>
      </c>
      <c r="B31" s="81"/>
      <c r="C31" s="81"/>
    </row>
    <row r="32" spans="1:3" x14ac:dyDescent="0.3">
      <c r="B32" t="s">
        <v>44</v>
      </c>
      <c r="C32" t="s">
        <v>45</v>
      </c>
    </row>
    <row r="33" spans="1:3" x14ac:dyDescent="0.3">
      <c r="A33">
        <v>2016</v>
      </c>
      <c r="B33" s="22">
        <f>3/10*100%</f>
        <v>0.3</v>
      </c>
      <c r="C33" s="22">
        <f>7/10*100%</f>
        <v>0.7</v>
      </c>
    </row>
    <row r="34" spans="1:3" x14ac:dyDescent="0.3">
      <c r="A34">
        <v>2017</v>
      </c>
      <c r="B34" s="22">
        <f>41/60*100%</f>
        <v>0.68333333333333335</v>
      </c>
      <c r="C34" s="22">
        <f>19/60*100%</f>
        <v>0.31666666666666665</v>
      </c>
    </row>
    <row r="35" spans="1:3" x14ac:dyDescent="0.3">
      <c r="A35">
        <v>2018</v>
      </c>
      <c r="B35" s="22">
        <f>4/6*100%</f>
        <v>0.66666666666666663</v>
      </c>
      <c r="C35" s="22">
        <f>2/6*100%</f>
        <v>0.33333333333333331</v>
      </c>
    </row>
    <row r="36" spans="1:3" x14ac:dyDescent="0.3">
      <c r="A36">
        <v>2019</v>
      </c>
      <c r="B36" s="22">
        <f>18/34*100%</f>
        <v>0.52941176470588236</v>
      </c>
      <c r="C36" s="22">
        <f>16/34*100%</f>
        <v>0.47058823529411764</v>
      </c>
    </row>
    <row r="37" spans="1:3" x14ac:dyDescent="0.3">
      <c r="A37">
        <v>2020</v>
      </c>
      <c r="B37" s="22">
        <f>23/24*100%</f>
        <v>0.95833333333333337</v>
      </c>
      <c r="C37" s="22">
        <f>1/24*100%</f>
        <v>4.1666666666666664E-2</v>
      </c>
    </row>
    <row r="38" spans="1:3" x14ac:dyDescent="0.3">
      <c r="A38">
        <v>2021</v>
      </c>
      <c r="B38" s="29">
        <f>9/11*100%</f>
        <v>0.81818181818181823</v>
      </c>
      <c r="C38" s="29">
        <f>2/11*100%</f>
        <v>0.18181818181818182</v>
      </c>
    </row>
    <row r="39" spans="1:3" x14ac:dyDescent="0.3">
      <c r="A39">
        <v>2022</v>
      </c>
      <c r="B39" s="29">
        <v>1</v>
      </c>
      <c r="C39" s="29">
        <v>0</v>
      </c>
    </row>
    <row r="40" spans="1:3" x14ac:dyDescent="0.3">
      <c r="B40" s="29"/>
      <c r="C40" s="29"/>
    </row>
    <row r="41" spans="1:3" x14ac:dyDescent="0.3">
      <c r="A41" s="81" t="s">
        <v>70</v>
      </c>
      <c r="B41" s="81"/>
      <c r="C41" s="81"/>
    </row>
    <row r="42" spans="1:3" x14ac:dyDescent="0.3">
      <c r="B42" t="s">
        <v>44</v>
      </c>
      <c r="C42" t="s">
        <v>45</v>
      </c>
    </row>
    <row r="43" spans="1:3" x14ac:dyDescent="0.3">
      <c r="A43">
        <v>2016</v>
      </c>
      <c r="B43" s="22">
        <f>114/122*100%</f>
        <v>0.93442622950819676</v>
      </c>
      <c r="C43" s="22">
        <f>8/122*100%</f>
        <v>6.5573770491803282E-2</v>
      </c>
    </row>
    <row r="44" spans="1:3" x14ac:dyDescent="0.3">
      <c r="A44">
        <v>2017</v>
      </c>
      <c r="B44" s="22">
        <v>0</v>
      </c>
      <c r="C44" s="22">
        <v>0</v>
      </c>
    </row>
    <row r="45" spans="1:3" x14ac:dyDescent="0.3">
      <c r="A45">
        <v>2018</v>
      </c>
      <c r="B45" s="22">
        <v>0</v>
      </c>
      <c r="C45" s="22">
        <v>0</v>
      </c>
    </row>
    <row r="46" spans="1:3" x14ac:dyDescent="0.3">
      <c r="A46">
        <v>2019</v>
      </c>
      <c r="B46" s="22">
        <f>110/158*100%</f>
        <v>0.69620253164556967</v>
      </c>
      <c r="C46" s="22">
        <v>0.3</v>
      </c>
    </row>
    <row r="47" spans="1:3" x14ac:dyDescent="0.3">
      <c r="A47">
        <v>2020</v>
      </c>
      <c r="B47" s="22">
        <f>148/165*100%</f>
        <v>0.89696969696969697</v>
      </c>
      <c r="C47" s="22">
        <v>0.1</v>
      </c>
    </row>
    <row r="48" spans="1:3" x14ac:dyDescent="0.3">
      <c r="A48">
        <v>2021</v>
      </c>
      <c r="B48" s="29">
        <f>153/159*100%</f>
        <v>0.96226415094339623</v>
      </c>
      <c r="C48" s="29">
        <f>6/159*100%</f>
        <v>3.7735849056603772E-2</v>
      </c>
    </row>
    <row r="49" spans="1:3" x14ac:dyDescent="0.3">
      <c r="A49">
        <v>2022</v>
      </c>
      <c r="B49" s="29">
        <v>0.93</v>
      </c>
      <c r="C49" s="29">
        <v>7.0000000000000007E-2</v>
      </c>
    </row>
    <row r="50" spans="1:3" x14ac:dyDescent="0.3">
      <c r="B50" s="29"/>
      <c r="C50" s="29"/>
    </row>
    <row r="51" spans="1:3" x14ac:dyDescent="0.3">
      <c r="A51" s="81" t="s">
        <v>71</v>
      </c>
      <c r="B51" s="81"/>
      <c r="C51" s="81"/>
    </row>
    <row r="52" spans="1:3" x14ac:dyDescent="0.3">
      <c r="B52" t="s">
        <v>44</v>
      </c>
      <c r="C52" t="s">
        <v>45</v>
      </c>
    </row>
    <row r="53" spans="1:3" x14ac:dyDescent="0.3">
      <c r="A53">
        <v>2016</v>
      </c>
      <c r="B53" s="22">
        <f>12/15*100%</f>
        <v>0.8</v>
      </c>
      <c r="C53" s="22">
        <v>0.2</v>
      </c>
    </row>
    <row r="54" spans="1:3" x14ac:dyDescent="0.3">
      <c r="A54">
        <v>2017</v>
      </c>
      <c r="B54" s="22">
        <f>22/25*100%</f>
        <v>0.88</v>
      </c>
      <c r="C54" s="22">
        <f>3/25*100%</f>
        <v>0.12</v>
      </c>
    </row>
    <row r="55" spans="1:3" x14ac:dyDescent="0.3">
      <c r="A55">
        <v>2018</v>
      </c>
      <c r="B55" s="22">
        <f>3/4*100%</f>
        <v>0.75</v>
      </c>
      <c r="C55" s="22">
        <f>1/4*100%</f>
        <v>0.25</v>
      </c>
    </row>
    <row r="56" spans="1:3" x14ac:dyDescent="0.3">
      <c r="A56">
        <v>2019</v>
      </c>
      <c r="B56" s="22">
        <f>35/41*100%</f>
        <v>0.85365853658536583</v>
      </c>
      <c r="C56" s="22">
        <f>6/41*100%</f>
        <v>0.14634146341463414</v>
      </c>
    </row>
    <row r="57" spans="1:3" x14ac:dyDescent="0.3">
      <c r="A57">
        <v>2020</v>
      </c>
      <c r="B57" s="22">
        <f>14/18*100%</f>
        <v>0.77777777777777779</v>
      </c>
      <c r="C57" s="22">
        <f>4/18*100%</f>
        <v>0.22222222222222221</v>
      </c>
    </row>
    <row r="58" spans="1:3" x14ac:dyDescent="0.3">
      <c r="A58">
        <v>2021</v>
      </c>
      <c r="B58" s="29">
        <f>11/13*100%</f>
        <v>0.84615384615384615</v>
      </c>
      <c r="C58" s="29">
        <f>2/13*100%</f>
        <v>0.15384615384615385</v>
      </c>
    </row>
    <row r="59" spans="1:3" x14ac:dyDescent="0.3">
      <c r="A59">
        <v>2022</v>
      </c>
      <c r="B59" s="29">
        <v>0.94</v>
      </c>
      <c r="C59" s="29">
        <v>0.06</v>
      </c>
    </row>
    <row r="60" spans="1:3" x14ac:dyDescent="0.3">
      <c r="B60" s="29"/>
      <c r="C60" s="29"/>
    </row>
    <row r="61" spans="1:3" x14ac:dyDescent="0.3">
      <c r="A61" s="81" t="s">
        <v>72</v>
      </c>
      <c r="B61" s="81"/>
      <c r="C61" s="81"/>
    </row>
    <row r="62" spans="1:3" x14ac:dyDescent="0.3">
      <c r="B62" t="s">
        <v>44</v>
      </c>
      <c r="C62" t="s">
        <v>45</v>
      </c>
    </row>
    <row r="63" spans="1:3" x14ac:dyDescent="0.3">
      <c r="A63">
        <v>2016</v>
      </c>
      <c r="B63" s="22">
        <f>110/120*100%</f>
        <v>0.91666666666666663</v>
      </c>
      <c r="C63" s="22">
        <v>0.08</v>
      </c>
    </row>
    <row r="64" spans="1:3" x14ac:dyDescent="0.3">
      <c r="A64">
        <v>2017</v>
      </c>
      <c r="B64" s="22">
        <v>0</v>
      </c>
      <c r="C64" s="22">
        <v>0</v>
      </c>
    </row>
    <row r="65" spans="1:3" x14ac:dyDescent="0.3">
      <c r="A65">
        <v>2018</v>
      </c>
      <c r="B65" s="22">
        <v>0</v>
      </c>
      <c r="C65" s="22">
        <v>0</v>
      </c>
    </row>
    <row r="66" spans="1:3" x14ac:dyDescent="0.3">
      <c r="A66">
        <v>2019</v>
      </c>
      <c r="B66" s="22">
        <f>110/158*100%</f>
        <v>0.69620253164556967</v>
      </c>
      <c r="C66" s="22">
        <f>48/158*100%</f>
        <v>0.30379746835443039</v>
      </c>
    </row>
    <row r="67" spans="1:3" x14ac:dyDescent="0.3">
      <c r="A67">
        <v>2020</v>
      </c>
      <c r="B67" s="22">
        <f>159/162*100%</f>
        <v>0.98148148148148151</v>
      </c>
      <c r="C67" s="22">
        <v>0.02</v>
      </c>
    </row>
    <row r="68" spans="1:3" x14ac:dyDescent="0.3">
      <c r="A68">
        <v>2021</v>
      </c>
      <c r="B68" s="29">
        <f>151/154*100%</f>
        <v>0.98051948051948057</v>
      </c>
      <c r="C68" s="29">
        <f>3/154*100%</f>
        <v>1.948051948051948E-2</v>
      </c>
    </row>
    <row r="69" spans="1:3" x14ac:dyDescent="0.3">
      <c r="A69">
        <v>2022</v>
      </c>
      <c r="B69" s="29">
        <v>1</v>
      </c>
      <c r="C69" s="29">
        <v>0</v>
      </c>
    </row>
    <row r="70" spans="1:3" x14ac:dyDescent="0.3">
      <c r="B70" s="29"/>
      <c r="C70" s="29"/>
    </row>
    <row r="71" spans="1:3" x14ac:dyDescent="0.3">
      <c r="A71" s="81" t="s">
        <v>73</v>
      </c>
      <c r="B71" s="81"/>
      <c r="C71" s="81"/>
    </row>
    <row r="72" spans="1:3" x14ac:dyDescent="0.3">
      <c r="B72" t="s">
        <v>44</v>
      </c>
      <c r="C72" t="s">
        <v>45</v>
      </c>
    </row>
    <row r="73" spans="1:3" x14ac:dyDescent="0.3">
      <c r="A73">
        <v>2016</v>
      </c>
      <c r="B73" s="22">
        <f>5/6*100%</f>
        <v>0.83333333333333337</v>
      </c>
      <c r="C73" s="22">
        <f>1/6*100%</f>
        <v>0.16666666666666666</v>
      </c>
    </row>
    <row r="74" spans="1:3" x14ac:dyDescent="0.3">
      <c r="A74">
        <v>2017</v>
      </c>
      <c r="B74" s="22">
        <f>26/27*100%</f>
        <v>0.96296296296296291</v>
      </c>
      <c r="C74" s="22">
        <f>1/27*100%</f>
        <v>3.7037037037037035E-2</v>
      </c>
    </row>
    <row r="75" spans="1:3" x14ac:dyDescent="0.3">
      <c r="A75">
        <v>2018</v>
      </c>
      <c r="B75" s="22">
        <f>2/3*100%</f>
        <v>0.66666666666666663</v>
      </c>
      <c r="C75" s="22">
        <f>1/3*100%</f>
        <v>0.33333333333333331</v>
      </c>
    </row>
    <row r="76" spans="1:3" x14ac:dyDescent="0.3">
      <c r="A76">
        <v>2019</v>
      </c>
      <c r="B76" s="22">
        <f>9/25*100%</f>
        <v>0.36</v>
      </c>
      <c r="C76" s="22">
        <f>16/25*100%</f>
        <v>0.64</v>
      </c>
    </row>
    <row r="77" spans="1:3" x14ac:dyDescent="0.3">
      <c r="A77">
        <v>2020</v>
      </c>
      <c r="B77" s="22">
        <v>1</v>
      </c>
      <c r="C77" s="22">
        <v>0</v>
      </c>
    </row>
    <row r="78" spans="1:3" x14ac:dyDescent="0.3">
      <c r="A78">
        <v>2021</v>
      </c>
      <c r="B78" s="29">
        <f>10/10*100%</f>
        <v>1</v>
      </c>
      <c r="C78" s="29">
        <f>0/10*100%</f>
        <v>0</v>
      </c>
    </row>
    <row r="79" spans="1:3" x14ac:dyDescent="0.3">
      <c r="A79">
        <v>2022</v>
      </c>
      <c r="B79" s="29">
        <f>10/10*100%</f>
        <v>1</v>
      </c>
      <c r="C79" s="29">
        <f>0/10*100%</f>
        <v>0</v>
      </c>
    </row>
    <row r="80" spans="1:3" x14ac:dyDescent="0.3">
      <c r="B80" s="29"/>
      <c r="C80" s="29"/>
    </row>
    <row r="81" spans="1:3" x14ac:dyDescent="0.3">
      <c r="A81" s="81" t="s">
        <v>74</v>
      </c>
      <c r="B81" s="81"/>
      <c r="C81" s="81"/>
    </row>
    <row r="82" spans="1:3" x14ac:dyDescent="0.3">
      <c r="B82" t="s">
        <v>44</v>
      </c>
      <c r="C82" t="s">
        <v>45</v>
      </c>
    </row>
    <row r="83" spans="1:3" x14ac:dyDescent="0.3">
      <c r="A83">
        <v>2016</v>
      </c>
      <c r="B83" s="22">
        <f>109/122*100%</f>
        <v>0.89344262295081966</v>
      </c>
      <c r="C83" s="22">
        <f>13/122*100%</f>
        <v>0.10655737704918032</v>
      </c>
    </row>
    <row r="84" spans="1:3" x14ac:dyDescent="0.3">
      <c r="A84">
        <v>2017</v>
      </c>
      <c r="B84" s="22">
        <v>0</v>
      </c>
      <c r="C84" s="22">
        <v>0</v>
      </c>
    </row>
    <row r="85" spans="1:3" x14ac:dyDescent="0.3">
      <c r="A85">
        <v>2018</v>
      </c>
      <c r="B85" s="22">
        <v>0</v>
      </c>
      <c r="C85" s="22">
        <v>0</v>
      </c>
    </row>
    <row r="86" spans="1:3" x14ac:dyDescent="0.3">
      <c r="A86">
        <v>2019</v>
      </c>
      <c r="B86" s="22">
        <f>110/158*100%</f>
        <v>0.69620253164556967</v>
      </c>
      <c r="C86" s="22">
        <f>48/158*100%</f>
        <v>0.30379746835443039</v>
      </c>
    </row>
    <row r="87" spans="1:3" x14ac:dyDescent="0.3">
      <c r="A87">
        <v>2020</v>
      </c>
      <c r="B87" s="22">
        <f>147/168*100%</f>
        <v>0.875</v>
      </c>
      <c r="C87" s="22">
        <v>0.12</v>
      </c>
    </row>
    <row r="88" spans="1:3" x14ac:dyDescent="0.3">
      <c r="A88">
        <v>2021</v>
      </c>
      <c r="B88" s="29">
        <f>148/159*100%</f>
        <v>0.9308176100628931</v>
      </c>
      <c r="C88" s="29">
        <f>11/159*100%</f>
        <v>6.9182389937106917E-2</v>
      </c>
    </row>
    <row r="89" spans="1:3" x14ac:dyDescent="0.3">
      <c r="A89">
        <v>2022</v>
      </c>
      <c r="B89" s="29">
        <v>0.97</v>
      </c>
      <c r="C89" s="29">
        <v>0.03</v>
      </c>
    </row>
    <row r="90" spans="1:3" x14ac:dyDescent="0.3">
      <c r="B90" s="29"/>
      <c r="C90" s="29"/>
    </row>
    <row r="91" spans="1:3" x14ac:dyDescent="0.3">
      <c r="A91" s="81" t="s">
        <v>75</v>
      </c>
      <c r="B91" s="81"/>
      <c r="C91" s="81"/>
    </row>
    <row r="92" spans="1:3" x14ac:dyDescent="0.3">
      <c r="B92" t="s">
        <v>44</v>
      </c>
      <c r="C92" t="s">
        <v>45</v>
      </c>
    </row>
    <row r="93" spans="1:3" x14ac:dyDescent="0.3">
      <c r="A93">
        <v>2016</v>
      </c>
      <c r="B93" s="22">
        <f>15/18*100%</f>
        <v>0.83333333333333337</v>
      </c>
      <c r="C93" s="22">
        <v>0.17</v>
      </c>
    </row>
    <row r="94" spans="1:3" x14ac:dyDescent="0.3">
      <c r="A94">
        <v>2017</v>
      </c>
      <c r="B94" s="22">
        <f>29/35*100%</f>
        <v>0.82857142857142863</v>
      </c>
      <c r="C94" s="22">
        <f>6/35*100%</f>
        <v>0.17142857142857143</v>
      </c>
    </row>
    <row r="95" spans="1:3" x14ac:dyDescent="0.3">
      <c r="A95">
        <v>2018</v>
      </c>
      <c r="B95" s="22">
        <f>1/3*100%</f>
        <v>0.33333333333333331</v>
      </c>
      <c r="C95" s="22">
        <f>2/3*100%</f>
        <v>0.66666666666666663</v>
      </c>
    </row>
    <row r="96" spans="1:3" x14ac:dyDescent="0.3">
      <c r="A96">
        <v>2019</v>
      </c>
      <c r="B96" s="22">
        <f>29/36*100%</f>
        <v>0.80555555555555558</v>
      </c>
      <c r="C96" s="22">
        <f>7/36*100%</f>
        <v>0.19444444444444445</v>
      </c>
    </row>
    <row r="97" spans="1:3" x14ac:dyDescent="0.3">
      <c r="A97">
        <v>2020</v>
      </c>
      <c r="B97" s="22">
        <f>18/22*100%</f>
        <v>0.81818181818181823</v>
      </c>
      <c r="C97" s="22">
        <f>4/22*100%</f>
        <v>0.18181818181818182</v>
      </c>
    </row>
    <row r="98" spans="1:3" x14ac:dyDescent="0.3">
      <c r="A98">
        <v>2021</v>
      </c>
      <c r="B98" s="29">
        <f>14/18*100%</f>
        <v>0.77777777777777779</v>
      </c>
      <c r="C98" s="29">
        <f>4/18*100%</f>
        <v>0.22222222222222221</v>
      </c>
    </row>
    <row r="99" spans="1:3" x14ac:dyDescent="0.3">
      <c r="A99">
        <v>2022</v>
      </c>
      <c r="B99" s="29">
        <v>1</v>
      </c>
      <c r="C99" s="29">
        <v>0</v>
      </c>
    </row>
  </sheetData>
  <mergeCells count="10">
    <mergeCell ref="A91:C91"/>
    <mergeCell ref="A11:C11"/>
    <mergeCell ref="A31:C31"/>
    <mergeCell ref="A1:C1"/>
    <mergeCell ref="A21:C21"/>
    <mergeCell ref="A41:C41"/>
    <mergeCell ref="A51:C51"/>
    <mergeCell ref="A61:C61"/>
    <mergeCell ref="A81:C81"/>
    <mergeCell ref="A71:C7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53"/>
  <sheetViews>
    <sheetView tabSelected="1" topLeftCell="A31" workbookViewId="0">
      <selection activeCell="N17" sqref="N17"/>
    </sheetView>
  </sheetViews>
  <sheetFormatPr defaultRowHeight="14.4" x14ac:dyDescent="0.3"/>
  <cols>
    <col min="1" max="1" width="38" customWidth="1"/>
    <col min="2" max="2" width="15.109375" customWidth="1"/>
    <col min="5" max="5" width="16.109375" customWidth="1"/>
    <col min="6" max="6" width="11.88671875" customWidth="1"/>
    <col min="9" max="9" width="8.88671875" customWidth="1"/>
  </cols>
  <sheetData>
    <row r="2" spans="1:9" ht="18.600000000000001" thickBot="1" x14ac:dyDescent="0.4">
      <c r="A2" s="82" t="s">
        <v>80</v>
      </c>
      <c r="B2" s="82"/>
      <c r="C2" s="82"/>
      <c r="D2" s="82"/>
      <c r="E2" s="82"/>
      <c r="F2" s="82"/>
      <c r="G2" s="82"/>
      <c r="H2" s="82"/>
      <c r="I2" s="82"/>
    </row>
    <row r="3" spans="1:9" ht="87" thickBot="1" x14ac:dyDescent="0.35">
      <c r="A3" s="31" t="s">
        <v>0</v>
      </c>
      <c r="B3" s="32" t="s">
        <v>1</v>
      </c>
      <c r="C3" s="32" t="s">
        <v>2</v>
      </c>
      <c r="D3" s="32" t="s">
        <v>3</v>
      </c>
      <c r="E3" s="32" t="s">
        <v>22</v>
      </c>
      <c r="F3" s="32" t="s">
        <v>4</v>
      </c>
      <c r="G3" s="32" t="s">
        <v>5</v>
      </c>
      <c r="H3" s="32" t="s">
        <v>6</v>
      </c>
      <c r="I3" s="32" t="s">
        <v>7</v>
      </c>
    </row>
    <row r="4" spans="1:9" ht="15" thickBot="1" x14ac:dyDescent="0.35">
      <c r="A4" s="43" t="s">
        <v>81</v>
      </c>
      <c r="B4" s="44" t="s">
        <v>82</v>
      </c>
      <c r="C4" s="45"/>
      <c r="D4" s="45"/>
      <c r="E4" s="45"/>
      <c r="F4" s="45"/>
      <c r="G4" s="45"/>
      <c r="H4" s="45"/>
      <c r="I4" s="45"/>
    </row>
    <row r="5" spans="1:9" ht="19.95" customHeight="1" thickBot="1" x14ac:dyDescent="0.35">
      <c r="A5" s="46" t="s">
        <v>8</v>
      </c>
      <c r="B5" s="47"/>
      <c r="C5" s="48">
        <v>32</v>
      </c>
      <c r="D5" s="48">
        <v>28</v>
      </c>
      <c r="E5" s="48">
        <v>4</v>
      </c>
      <c r="F5" s="49"/>
      <c r="G5" s="47"/>
      <c r="H5" s="47"/>
      <c r="I5" s="47"/>
    </row>
    <row r="6" spans="1:9" ht="19.95" customHeight="1" thickBot="1" x14ac:dyDescent="0.35">
      <c r="A6" s="46" t="s">
        <v>9</v>
      </c>
      <c r="B6" s="47"/>
      <c r="C6" s="48">
        <v>57</v>
      </c>
      <c r="D6" s="48">
        <v>52</v>
      </c>
      <c r="E6" s="48">
        <v>5</v>
      </c>
      <c r="F6" s="49"/>
      <c r="G6" s="47"/>
      <c r="H6" s="47"/>
      <c r="I6" s="47"/>
    </row>
    <row r="7" spans="1:9" ht="19.95" customHeight="1" thickBot="1" x14ac:dyDescent="0.35">
      <c r="A7" s="46" t="s">
        <v>10</v>
      </c>
      <c r="B7" s="47"/>
      <c r="C7" s="50">
        <v>29</v>
      </c>
      <c r="D7" s="50">
        <v>28</v>
      </c>
      <c r="E7" s="50">
        <v>1</v>
      </c>
      <c r="F7" s="51"/>
      <c r="G7" s="47"/>
      <c r="H7" s="47"/>
      <c r="I7" s="47"/>
    </row>
    <row r="8" spans="1:9" ht="15" thickBot="1" x14ac:dyDescent="0.35">
      <c r="A8" s="52" t="s">
        <v>83</v>
      </c>
      <c r="B8" s="53" t="s">
        <v>84</v>
      </c>
      <c r="C8" s="54"/>
      <c r="D8" s="54"/>
      <c r="E8" s="54"/>
      <c r="F8" s="54"/>
      <c r="G8" s="55"/>
      <c r="H8" s="55"/>
      <c r="I8" s="55"/>
    </row>
    <row r="9" spans="1:9" ht="19.95" customHeight="1" thickBot="1" x14ac:dyDescent="0.35">
      <c r="A9" s="46" t="s">
        <v>8</v>
      </c>
      <c r="B9" s="56"/>
      <c r="C9" s="57">
        <v>260</v>
      </c>
      <c r="D9" s="57">
        <v>212</v>
      </c>
      <c r="E9" s="57" t="s">
        <v>85</v>
      </c>
      <c r="F9" s="57">
        <v>50</v>
      </c>
      <c r="G9" s="83">
        <v>29</v>
      </c>
      <c r="H9" s="83">
        <v>34</v>
      </c>
      <c r="I9" s="83">
        <v>37</v>
      </c>
    </row>
    <row r="10" spans="1:9" ht="19.95" customHeight="1" thickBot="1" x14ac:dyDescent="0.35">
      <c r="A10" s="46" t="s">
        <v>9</v>
      </c>
      <c r="B10" s="56"/>
      <c r="C10" s="48">
        <v>261</v>
      </c>
      <c r="D10" s="48">
        <v>198</v>
      </c>
      <c r="E10" s="48" t="s">
        <v>86</v>
      </c>
      <c r="F10" s="48">
        <v>23</v>
      </c>
      <c r="G10" s="84"/>
      <c r="H10" s="84"/>
      <c r="I10" s="84"/>
    </row>
    <row r="11" spans="1:9" ht="19.95" customHeight="1" thickBot="1" x14ac:dyDescent="0.35">
      <c r="A11" s="46" t="s">
        <v>10</v>
      </c>
      <c r="B11" s="56"/>
      <c r="C11" s="48">
        <v>258</v>
      </c>
      <c r="D11" s="48">
        <v>212</v>
      </c>
      <c r="E11" s="48" t="s">
        <v>87</v>
      </c>
      <c r="F11" s="48">
        <v>25</v>
      </c>
      <c r="G11" s="85"/>
      <c r="H11" s="85"/>
      <c r="I11" s="85"/>
    </row>
    <row r="12" spans="1:9" ht="15" customHeight="1" thickBot="1" x14ac:dyDescent="0.35">
      <c r="A12" s="58" t="s">
        <v>88</v>
      </c>
      <c r="B12" s="53" t="s">
        <v>89</v>
      </c>
      <c r="C12" s="59"/>
      <c r="D12" s="59"/>
      <c r="E12" s="59"/>
      <c r="F12" s="59"/>
      <c r="G12" s="60"/>
      <c r="H12" s="60"/>
      <c r="I12" s="60"/>
    </row>
    <row r="13" spans="1:9" ht="19.95" customHeight="1" thickBot="1" x14ac:dyDescent="0.35">
      <c r="A13" s="46" t="s">
        <v>8</v>
      </c>
      <c r="B13" s="61"/>
      <c r="C13" s="48">
        <v>52</v>
      </c>
      <c r="D13" s="48">
        <v>42</v>
      </c>
      <c r="E13" s="48">
        <v>10</v>
      </c>
      <c r="F13" s="59"/>
      <c r="G13" s="60"/>
      <c r="H13" s="60"/>
      <c r="I13" s="60"/>
    </row>
    <row r="14" spans="1:9" ht="19.95" customHeight="1" thickBot="1" x14ac:dyDescent="0.35">
      <c r="A14" s="46" t="s">
        <v>9</v>
      </c>
      <c r="B14" s="61"/>
      <c r="C14" s="48">
        <v>67</v>
      </c>
      <c r="D14" s="48">
        <v>49</v>
      </c>
      <c r="E14" s="48">
        <v>18</v>
      </c>
      <c r="F14" s="59"/>
      <c r="G14" s="60"/>
      <c r="H14" s="60"/>
      <c r="I14" s="60"/>
    </row>
    <row r="15" spans="1:9" ht="19.95" customHeight="1" thickBot="1" x14ac:dyDescent="0.35">
      <c r="A15" s="46" t="s">
        <v>10</v>
      </c>
      <c r="B15" s="61"/>
      <c r="C15" s="48">
        <v>49</v>
      </c>
      <c r="D15" s="48">
        <v>42</v>
      </c>
      <c r="E15" s="48">
        <v>7</v>
      </c>
      <c r="F15" s="59"/>
      <c r="G15" s="60"/>
      <c r="H15" s="60"/>
      <c r="I15" s="60"/>
    </row>
    <row r="16" spans="1:9" ht="15" customHeight="1" thickBot="1" x14ac:dyDescent="0.35">
      <c r="A16" s="62" t="s">
        <v>90</v>
      </c>
      <c r="B16" s="63" t="s">
        <v>91</v>
      </c>
      <c r="C16" s="64"/>
      <c r="D16" s="64"/>
      <c r="E16" s="64"/>
      <c r="F16" s="65"/>
      <c r="G16" s="66"/>
      <c r="H16" s="66"/>
      <c r="I16" s="66"/>
    </row>
    <row r="17" spans="1:9" ht="19.95" customHeight="1" thickBot="1" x14ac:dyDescent="0.35">
      <c r="A17" s="46" t="s">
        <v>11</v>
      </c>
      <c r="B17" s="66"/>
      <c r="C17" s="48">
        <v>199</v>
      </c>
      <c r="D17" s="48">
        <v>185</v>
      </c>
      <c r="E17" s="48">
        <v>14</v>
      </c>
      <c r="F17" s="48">
        <v>56</v>
      </c>
      <c r="G17" s="66"/>
      <c r="H17" s="66"/>
      <c r="I17" s="66"/>
    </row>
    <row r="18" spans="1:9" ht="19.95" customHeight="1" thickBot="1" x14ac:dyDescent="0.35">
      <c r="A18" s="46" t="s">
        <v>12</v>
      </c>
      <c r="B18" s="66"/>
      <c r="C18" s="48">
        <v>199</v>
      </c>
      <c r="D18" s="48">
        <v>193</v>
      </c>
      <c r="E18" s="48">
        <v>6</v>
      </c>
      <c r="F18" s="48">
        <v>59</v>
      </c>
      <c r="G18" s="66"/>
      <c r="H18" s="66"/>
      <c r="I18" s="66"/>
    </row>
    <row r="19" spans="1:9" ht="15" customHeight="1" thickBot="1" x14ac:dyDescent="0.35">
      <c r="A19" s="67" t="s">
        <v>92</v>
      </c>
      <c r="B19" s="68" t="s">
        <v>93</v>
      </c>
      <c r="C19" s="69"/>
      <c r="D19" s="69"/>
      <c r="E19" s="69"/>
      <c r="F19" s="69"/>
      <c r="G19" s="70"/>
      <c r="H19" s="70"/>
      <c r="I19" s="70"/>
    </row>
    <row r="20" spans="1:9" ht="19.95" customHeight="1" thickBot="1" x14ac:dyDescent="0.35">
      <c r="A20" s="46" t="s">
        <v>11</v>
      </c>
      <c r="B20" s="70"/>
      <c r="C20" s="48">
        <v>14</v>
      </c>
      <c r="D20" s="48">
        <v>14</v>
      </c>
      <c r="E20" s="48" t="s">
        <v>94</v>
      </c>
      <c r="F20" s="69"/>
      <c r="G20" s="70"/>
      <c r="H20" s="70"/>
      <c r="I20" s="70"/>
    </row>
    <row r="21" spans="1:9" ht="19.95" customHeight="1" thickBot="1" x14ac:dyDescent="0.35">
      <c r="A21" s="46" t="s">
        <v>12</v>
      </c>
      <c r="B21" s="70"/>
      <c r="C21" s="48">
        <v>4</v>
      </c>
      <c r="D21" s="48">
        <v>4</v>
      </c>
      <c r="E21" s="48" t="s">
        <v>94</v>
      </c>
      <c r="F21" s="69"/>
      <c r="G21" s="70"/>
      <c r="H21" s="70"/>
      <c r="I21" s="70"/>
    </row>
    <row r="22" spans="1:9" ht="15" customHeight="1" thickBot="1" x14ac:dyDescent="0.35">
      <c r="A22" s="71" t="s">
        <v>95</v>
      </c>
      <c r="B22" s="63" t="s">
        <v>96</v>
      </c>
      <c r="C22" s="72"/>
      <c r="D22" s="72"/>
      <c r="E22" s="72"/>
      <c r="F22" s="72"/>
      <c r="G22" s="72"/>
      <c r="H22" s="72"/>
      <c r="I22" s="72"/>
    </row>
    <row r="23" spans="1:9" ht="19.95" customHeight="1" thickBot="1" x14ac:dyDescent="0.35">
      <c r="A23" s="46" t="s">
        <v>13</v>
      </c>
      <c r="B23" s="73"/>
      <c r="C23" s="48">
        <v>29</v>
      </c>
      <c r="D23" s="48">
        <v>27</v>
      </c>
      <c r="E23" s="48">
        <v>2</v>
      </c>
      <c r="F23" s="74"/>
      <c r="G23" s="73"/>
      <c r="H23" s="73"/>
      <c r="I23" s="73"/>
    </row>
    <row r="24" spans="1:9" ht="19.95" customHeight="1" thickBot="1" x14ac:dyDescent="0.35">
      <c r="A24" s="46" t="s">
        <v>14</v>
      </c>
      <c r="B24" s="73"/>
      <c r="C24" s="48">
        <v>10</v>
      </c>
      <c r="D24" s="48">
        <v>9</v>
      </c>
      <c r="E24" s="48">
        <v>1</v>
      </c>
      <c r="F24" s="74"/>
      <c r="G24" s="73"/>
      <c r="H24" s="73"/>
      <c r="I24" s="73"/>
    </row>
    <row r="25" spans="1:9" ht="19.95" customHeight="1" thickBot="1" x14ac:dyDescent="0.35">
      <c r="A25" s="46" t="s">
        <v>15</v>
      </c>
      <c r="B25" s="73"/>
      <c r="C25" s="48">
        <v>28</v>
      </c>
      <c r="D25" s="48">
        <v>26</v>
      </c>
      <c r="E25" s="48">
        <v>2</v>
      </c>
      <c r="F25" s="74"/>
      <c r="G25" s="73"/>
      <c r="H25" s="73"/>
      <c r="I25" s="73"/>
    </row>
    <row r="26" spans="1:9" ht="19.95" customHeight="1" thickBot="1" x14ac:dyDescent="0.35">
      <c r="A26" s="46" t="s">
        <v>16</v>
      </c>
      <c r="B26" s="73"/>
      <c r="C26" s="48">
        <v>34</v>
      </c>
      <c r="D26" s="48">
        <v>33</v>
      </c>
      <c r="E26" s="48">
        <v>1</v>
      </c>
      <c r="F26" s="74"/>
      <c r="G26" s="73"/>
      <c r="H26" s="73"/>
      <c r="I26" s="73"/>
    </row>
    <row r="27" spans="1:9" ht="15" customHeight="1" thickBot="1" x14ac:dyDescent="0.35">
      <c r="A27" s="72" t="s">
        <v>97</v>
      </c>
      <c r="B27" s="63" t="s">
        <v>98</v>
      </c>
      <c r="C27" s="72"/>
      <c r="D27" s="72"/>
      <c r="E27" s="72"/>
      <c r="F27" s="74"/>
      <c r="G27" s="72"/>
      <c r="H27" s="72"/>
      <c r="I27" s="72"/>
    </row>
    <row r="28" spans="1:9" ht="19.95" customHeight="1" thickBot="1" x14ac:dyDescent="0.35">
      <c r="A28" s="46" t="s">
        <v>13</v>
      </c>
      <c r="B28" s="73"/>
      <c r="C28" s="48">
        <v>175</v>
      </c>
      <c r="D28" s="48">
        <v>148</v>
      </c>
      <c r="E28" s="48" t="s">
        <v>99</v>
      </c>
      <c r="F28" s="48">
        <v>7</v>
      </c>
      <c r="G28" s="86">
        <v>23</v>
      </c>
      <c r="H28" s="86">
        <v>36</v>
      </c>
      <c r="I28" s="86">
        <v>29</v>
      </c>
    </row>
    <row r="29" spans="1:9" ht="19.95" customHeight="1" thickBot="1" x14ac:dyDescent="0.35">
      <c r="A29" s="46" t="s">
        <v>14</v>
      </c>
      <c r="B29" s="73"/>
      <c r="C29" s="48">
        <v>174</v>
      </c>
      <c r="D29" s="48">
        <v>173</v>
      </c>
      <c r="E29" s="48" t="s">
        <v>100</v>
      </c>
      <c r="F29" s="48">
        <v>8</v>
      </c>
      <c r="G29" s="87"/>
      <c r="H29" s="87"/>
      <c r="I29" s="87"/>
    </row>
    <row r="30" spans="1:9" ht="19.95" customHeight="1" thickBot="1" x14ac:dyDescent="0.35">
      <c r="A30" s="46" t="s">
        <v>15</v>
      </c>
      <c r="B30" s="73"/>
      <c r="C30" s="48">
        <v>174</v>
      </c>
      <c r="D30" s="48">
        <v>142</v>
      </c>
      <c r="E30" s="48" t="s">
        <v>101</v>
      </c>
      <c r="F30" s="48">
        <v>24</v>
      </c>
      <c r="G30" s="87"/>
      <c r="H30" s="87"/>
      <c r="I30" s="87"/>
    </row>
    <row r="31" spans="1:9" ht="19.95" customHeight="1" thickBot="1" x14ac:dyDescent="0.35">
      <c r="A31" s="46" t="s">
        <v>16</v>
      </c>
      <c r="B31" s="73"/>
      <c r="C31" s="48">
        <v>174</v>
      </c>
      <c r="D31" s="48">
        <v>156</v>
      </c>
      <c r="E31" s="48" t="s">
        <v>102</v>
      </c>
      <c r="F31" s="48">
        <v>31</v>
      </c>
      <c r="G31" s="88"/>
      <c r="H31" s="88"/>
      <c r="I31" s="88"/>
    </row>
    <row r="32" spans="1:9" ht="15" customHeight="1" thickBot="1" x14ac:dyDescent="0.35">
      <c r="A32" s="75" t="s">
        <v>103</v>
      </c>
      <c r="B32" s="63" t="s">
        <v>104</v>
      </c>
      <c r="C32" s="65"/>
      <c r="D32" s="65"/>
      <c r="E32" s="65"/>
      <c r="F32" s="65"/>
      <c r="G32" s="66"/>
      <c r="H32" s="66"/>
      <c r="I32" s="66"/>
    </row>
    <row r="33" spans="1:9" ht="19.95" customHeight="1" thickBot="1" x14ac:dyDescent="0.35">
      <c r="A33" s="46" t="s">
        <v>13</v>
      </c>
      <c r="B33" s="66"/>
      <c r="C33" s="48">
        <v>29</v>
      </c>
      <c r="D33" s="48">
        <v>26</v>
      </c>
      <c r="E33" s="48">
        <v>3</v>
      </c>
      <c r="F33" s="65"/>
      <c r="G33" s="66"/>
      <c r="H33" s="66"/>
      <c r="I33" s="66"/>
    </row>
    <row r="34" spans="1:9" ht="19.95" customHeight="1" thickBot="1" x14ac:dyDescent="0.35">
      <c r="A34" s="46" t="s">
        <v>14</v>
      </c>
      <c r="B34" s="66"/>
      <c r="C34" s="48">
        <v>3</v>
      </c>
      <c r="D34" s="48">
        <v>3</v>
      </c>
      <c r="E34" s="48" t="s">
        <v>105</v>
      </c>
      <c r="F34" s="65"/>
      <c r="G34" s="66"/>
      <c r="H34" s="66"/>
      <c r="I34" s="66"/>
    </row>
    <row r="35" spans="1:9" ht="19.95" customHeight="1" thickBot="1" x14ac:dyDescent="0.35">
      <c r="A35" s="46" t="s">
        <v>15</v>
      </c>
      <c r="B35" s="66"/>
      <c r="C35" s="48">
        <v>35</v>
      </c>
      <c r="D35" s="48">
        <v>30</v>
      </c>
      <c r="E35" s="48">
        <v>5</v>
      </c>
      <c r="F35" s="65"/>
      <c r="G35" s="66"/>
      <c r="H35" s="66"/>
      <c r="I35" s="66"/>
    </row>
    <row r="36" spans="1:9" ht="19.95" customHeight="1" thickBot="1" x14ac:dyDescent="0.35">
      <c r="A36" s="46" t="s">
        <v>16</v>
      </c>
      <c r="B36" s="66"/>
      <c r="C36" s="48">
        <v>20</v>
      </c>
      <c r="D36" s="48">
        <v>13</v>
      </c>
      <c r="E36" s="48">
        <v>7</v>
      </c>
      <c r="F36" s="65"/>
      <c r="G36" s="66"/>
      <c r="H36" s="66"/>
      <c r="I36" s="66"/>
    </row>
    <row r="37" spans="1:9" ht="15" customHeight="1" thickBot="1" x14ac:dyDescent="0.35">
      <c r="A37" s="75" t="s">
        <v>106</v>
      </c>
      <c r="B37" s="63" t="s">
        <v>107</v>
      </c>
      <c r="C37" s="76"/>
      <c r="D37" s="76"/>
      <c r="E37" s="76"/>
      <c r="F37" s="76"/>
      <c r="G37" s="77"/>
      <c r="H37" s="77"/>
      <c r="I37" s="77"/>
    </row>
    <row r="38" spans="1:9" ht="19.95" customHeight="1" thickBot="1" x14ac:dyDescent="0.35">
      <c r="A38" s="46" t="s">
        <v>13</v>
      </c>
      <c r="B38" s="76"/>
      <c r="C38" s="48">
        <v>201</v>
      </c>
      <c r="D38" s="48">
        <v>172</v>
      </c>
      <c r="E38" s="48">
        <v>29</v>
      </c>
      <c r="F38" s="48">
        <v>4</v>
      </c>
      <c r="G38" s="86">
        <v>12</v>
      </c>
      <c r="H38" s="86">
        <v>45</v>
      </c>
      <c r="I38" s="86">
        <v>45</v>
      </c>
    </row>
    <row r="39" spans="1:9" ht="19.95" customHeight="1" thickBot="1" x14ac:dyDescent="0.35">
      <c r="A39" s="46" t="s">
        <v>14</v>
      </c>
      <c r="B39" s="76"/>
      <c r="C39" s="48">
        <v>198</v>
      </c>
      <c r="D39" s="48">
        <v>179</v>
      </c>
      <c r="E39" s="48">
        <v>19</v>
      </c>
      <c r="F39" s="48" t="s">
        <v>105</v>
      </c>
      <c r="G39" s="87"/>
      <c r="H39" s="87"/>
      <c r="I39" s="87"/>
    </row>
    <row r="40" spans="1:9" ht="19.95" customHeight="1" thickBot="1" x14ac:dyDescent="0.35">
      <c r="A40" s="46" t="s">
        <v>15</v>
      </c>
      <c r="B40" s="76"/>
      <c r="C40" s="48">
        <v>203</v>
      </c>
      <c r="D40" s="48">
        <v>173</v>
      </c>
      <c r="E40" s="48">
        <v>30</v>
      </c>
      <c r="F40" s="48">
        <v>44</v>
      </c>
      <c r="G40" s="87"/>
      <c r="H40" s="87"/>
      <c r="I40" s="87"/>
    </row>
    <row r="41" spans="1:9" ht="19.95" customHeight="1" thickBot="1" x14ac:dyDescent="0.35">
      <c r="A41" s="46" t="s">
        <v>16</v>
      </c>
      <c r="B41" s="76"/>
      <c r="C41" s="48">
        <v>205</v>
      </c>
      <c r="D41" s="48">
        <v>166</v>
      </c>
      <c r="E41" s="48">
        <v>39</v>
      </c>
      <c r="F41" s="48">
        <v>10</v>
      </c>
      <c r="G41" s="88"/>
      <c r="H41" s="88"/>
      <c r="I41" s="88"/>
    </row>
    <row r="42" spans="1:9" ht="15" customHeight="1" thickBot="1" x14ac:dyDescent="0.35">
      <c r="A42" s="78" t="s">
        <v>108</v>
      </c>
      <c r="B42" s="63" t="s">
        <v>109</v>
      </c>
      <c r="C42" s="79"/>
      <c r="D42" s="79"/>
      <c r="E42" s="79"/>
      <c r="F42" s="79"/>
      <c r="G42" s="79"/>
      <c r="H42" s="79"/>
      <c r="I42" s="79"/>
    </row>
    <row r="43" spans="1:9" ht="19.95" customHeight="1" thickBot="1" x14ac:dyDescent="0.35">
      <c r="A43" s="46" t="s">
        <v>17</v>
      </c>
      <c r="B43" s="47"/>
      <c r="C43" s="48">
        <v>166</v>
      </c>
      <c r="D43" s="48">
        <v>155</v>
      </c>
      <c r="E43" s="48" t="s">
        <v>110</v>
      </c>
      <c r="F43" s="48">
        <v>1</v>
      </c>
      <c r="G43" s="86">
        <v>3</v>
      </c>
      <c r="H43" s="86">
        <v>29</v>
      </c>
      <c r="I43" s="86">
        <v>66</v>
      </c>
    </row>
    <row r="44" spans="1:9" ht="19.95" customHeight="1" thickBot="1" x14ac:dyDescent="0.35">
      <c r="A44" s="46" t="s">
        <v>18</v>
      </c>
      <c r="B44" s="47"/>
      <c r="C44" s="48">
        <v>166</v>
      </c>
      <c r="D44" s="48">
        <v>156</v>
      </c>
      <c r="E44" s="48" t="s">
        <v>111</v>
      </c>
      <c r="F44" s="48">
        <v>21</v>
      </c>
      <c r="G44" s="87"/>
      <c r="H44" s="87"/>
      <c r="I44" s="87"/>
    </row>
    <row r="45" spans="1:9" ht="19.95" customHeight="1" thickBot="1" x14ac:dyDescent="0.35">
      <c r="A45" s="46" t="s">
        <v>19</v>
      </c>
      <c r="B45" s="47"/>
      <c r="C45" s="48">
        <v>166</v>
      </c>
      <c r="D45" s="48">
        <v>154</v>
      </c>
      <c r="E45" s="48" t="s">
        <v>112</v>
      </c>
      <c r="F45" s="48" t="s">
        <v>105</v>
      </c>
      <c r="G45" s="87"/>
      <c r="H45" s="87"/>
      <c r="I45" s="87"/>
    </row>
    <row r="46" spans="1:9" ht="19.95" customHeight="1" thickBot="1" x14ac:dyDescent="0.35">
      <c r="A46" s="46" t="s">
        <v>20</v>
      </c>
      <c r="B46" s="47"/>
      <c r="C46" s="48">
        <v>166</v>
      </c>
      <c r="D46" s="48">
        <v>166</v>
      </c>
      <c r="E46" s="48" t="s">
        <v>113</v>
      </c>
      <c r="F46" s="48">
        <v>34</v>
      </c>
      <c r="G46" s="87"/>
      <c r="H46" s="87"/>
      <c r="I46" s="87"/>
    </row>
    <row r="47" spans="1:9" ht="19.95" customHeight="1" thickBot="1" x14ac:dyDescent="0.35">
      <c r="A47" s="46" t="s">
        <v>21</v>
      </c>
      <c r="B47" s="47"/>
      <c r="C47" s="48">
        <v>166</v>
      </c>
      <c r="D47" s="48">
        <v>161</v>
      </c>
      <c r="E47" s="48" t="s">
        <v>114</v>
      </c>
      <c r="F47" s="48">
        <v>5</v>
      </c>
      <c r="G47" s="88"/>
      <c r="H47" s="88"/>
      <c r="I47" s="88"/>
    </row>
    <row r="48" spans="1:9" ht="15" customHeight="1" thickBot="1" x14ac:dyDescent="0.35">
      <c r="A48" s="67" t="s">
        <v>115</v>
      </c>
      <c r="B48" s="63" t="s">
        <v>84</v>
      </c>
      <c r="C48" s="80"/>
      <c r="D48" s="80"/>
      <c r="E48" s="80"/>
      <c r="F48" s="69"/>
      <c r="G48" s="69"/>
      <c r="H48" s="69"/>
      <c r="I48" s="80"/>
    </row>
    <row r="49" spans="1:9" ht="19.95" customHeight="1" thickBot="1" x14ac:dyDescent="0.35">
      <c r="A49" s="46" t="s">
        <v>17</v>
      </c>
      <c r="B49" s="70"/>
      <c r="C49" s="48">
        <v>15</v>
      </c>
      <c r="D49" s="48">
        <v>15</v>
      </c>
      <c r="E49" s="48" t="s">
        <v>105</v>
      </c>
      <c r="F49" s="86">
        <v>1</v>
      </c>
      <c r="G49" s="70"/>
      <c r="H49" s="86">
        <v>1</v>
      </c>
      <c r="I49" s="70"/>
    </row>
    <row r="50" spans="1:9" ht="19.95" customHeight="1" thickBot="1" x14ac:dyDescent="0.35">
      <c r="A50" s="46" t="s">
        <v>18</v>
      </c>
      <c r="B50" s="70"/>
      <c r="C50" s="48">
        <v>13</v>
      </c>
      <c r="D50" s="48">
        <v>13</v>
      </c>
      <c r="E50" s="48" t="s">
        <v>105</v>
      </c>
      <c r="F50" s="87"/>
      <c r="G50" s="70"/>
      <c r="H50" s="87"/>
      <c r="I50" s="70"/>
    </row>
    <row r="51" spans="1:9" ht="19.95" customHeight="1" thickBot="1" x14ac:dyDescent="0.35">
      <c r="A51" s="46" t="s">
        <v>19</v>
      </c>
      <c r="B51" s="70"/>
      <c r="C51" s="48">
        <v>16</v>
      </c>
      <c r="D51" s="48">
        <v>15</v>
      </c>
      <c r="E51" s="48">
        <v>1</v>
      </c>
      <c r="F51" s="87"/>
      <c r="G51" s="70"/>
      <c r="H51" s="87"/>
      <c r="I51" s="70"/>
    </row>
    <row r="52" spans="1:9" ht="19.95" customHeight="1" thickBot="1" x14ac:dyDescent="0.35">
      <c r="A52" s="46" t="s">
        <v>20</v>
      </c>
      <c r="B52" s="70"/>
      <c r="C52" s="48">
        <v>2</v>
      </c>
      <c r="D52" s="48">
        <v>2</v>
      </c>
      <c r="E52" s="48" t="s">
        <v>105</v>
      </c>
      <c r="F52" s="87"/>
      <c r="G52" s="70"/>
      <c r="H52" s="87"/>
      <c r="I52" s="70"/>
    </row>
    <row r="53" spans="1:9" ht="19.95" customHeight="1" thickBot="1" x14ac:dyDescent="0.35">
      <c r="A53" s="46" t="s">
        <v>21</v>
      </c>
      <c r="B53" s="70"/>
      <c r="C53" s="48">
        <v>7</v>
      </c>
      <c r="D53" s="48">
        <v>7</v>
      </c>
      <c r="E53" s="48" t="s">
        <v>105</v>
      </c>
      <c r="F53" s="88"/>
      <c r="G53" s="70"/>
      <c r="H53" s="88"/>
      <c r="I53" s="70"/>
    </row>
  </sheetData>
  <mergeCells count="15">
    <mergeCell ref="F49:F53"/>
    <mergeCell ref="H49:H53"/>
    <mergeCell ref="G38:G41"/>
    <mergeCell ref="H38:H41"/>
    <mergeCell ref="I38:I41"/>
    <mergeCell ref="G43:G47"/>
    <mergeCell ref="H43:H47"/>
    <mergeCell ref="I43:I47"/>
    <mergeCell ref="A2:I2"/>
    <mergeCell ref="G9:G11"/>
    <mergeCell ref="H9:H11"/>
    <mergeCell ref="I9:I11"/>
    <mergeCell ref="G28:G31"/>
    <mergeCell ref="H28:H31"/>
    <mergeCell ref="I28:I31"/>
  </mergeCells>
  <pageMargins left="0.25" right="0.25" top="0.75" bottom="0.75" header="0.3" footer="0.3"/>
  <pageSetup paperSize="9" scale="79" fitToHeight="0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"/>
  <sheetViews>
    <sheetView workbookViewId="0">
      <selection activeCell="L3" sqref="L3"/>
    </sheetView>
  </sheetViews>
  <sheetFormatPr defaultRowHeight="14.4" x14ac:dyDescent="0.3"/>
  <cols>
    <col min="2" max="2" width="19.88671875" customWidth="1"/>
    <col min="3" max="3" width="15.33203125" customWidth="1"/>
    <col min="4" max="4" width="11.5546875" customWidth="1"/>
    <col min="5" max="5" width="12" customWidth="1"/>
    <col min="6" max="6" width="12.109375" customWidth="1"/>
    <col min="7" max="7" width="12.88671875" customWidth="1"/>
    <col min="8" max="8" width="13.109375" customWidth="1"/>
    <col min="9" max="9" width="12.5546875" customWidth="1"/>
    <col min="10" max="10" width="13.5546875" customWidth="1"/>
  </cols>
  <sheetData>
    <row r="2" spans="2:10" ht="19.5" thickBot="1" x14ac:dyDescent="0.35">
      <c r="B2" s="82" t="s">
        <v>76</v>
      </c>
      <c r="C2" s="82"/>
      <c r="D2" s="82"/>
      <c r="E2" s="82"/>
      <c r="F2" s="82"/>
      <c r="G2" s="82"/>
      <c r="H2" s="82"/>
      <c r="I2" s="82"/>
      <c r="J2" s="82"/>
    </row>
    <row r="3" spans="2:10" ht="90.75" thickBot="1" x14ac:dyDescent="0.3">
      <c r="B3" s="31" t="s">
        <v>0</v>
      </c>
      <c r="C3" s="32" t="s">
        <v>1</v>
      </c>
      <c r="D3" s="32" t="s">
        <v>2</v>
      </c>
      <c r="E3" s="32" t="s">
        <v>3</v>
      </c>
      <c r="F3" s="32" t="s">
        <v>22</v>
      </c>
      <c r="G3" s="32" t="s">
        <v>4</v>
      </c>
      <c r="H3" s="32" t="s">
        <v>5</v>
      </c>
      <c r="I3" s="32" t="s">
        <v>6</v>
      </c>
      <c r="J3" s="32" t="s">
        <v>7</v>
      </c>
    </row>
    <row r="4" spans="2:10" ht="15.75" thickBot="1" x14ac:dyDescent="0.3">
      <c r="B4" s="30" t="s">
        <v>23</v>
      </c>
      <c r="C4" s="33" t="s">
        <v>77</v>
      </c>
      <c r="D4" s="34"/>
      <c r="E4" s="34"/>
      <c r="F4" s="34"/>
      <c r="G4" s="34"/>
      <c r="H4" s="34"/>
      <c r="I4" s="34"/>
      <c r="J4" s="34"/>
    </row>
    <row r="5" spans="2:10" ht="15.75" thickBot="1" x14ac:dyDescent="0.3">
      <c r="B5" s="6" t="s">
        <v>8</v>
      </c>
      <c r="C5" s="35"/>
      <c r="D5" s="36">
        <v>38</v>
      </c>
      <c r="E5" s="36">
        <v>36</v>
      </c>
      <c r="F5" s="36">
        <v>2</v>
      </c>
      <c r="G5" s="37"/>
      <c r="H5" s="35"/>
      <c r="I5" s="35"/>
      <c r="J5" s="35"/>
    </row>
    <row r="6" spans="2:10" ht="15.75" thickBot="1" x14ac:dyDescent="0.3">
      <c r="B6" s="6" t="s">
        <v>9</v>
      </c>
      <c r="C6" s="35"/>
      <c r="D6" s="36">
        <v>40</v>
      </c>
      <c r="E6" s="36">
        <v>38</v>
      </c>
      <c r="F6" s="36">
        <v>2</v>
      </c>
      <c r="G6" s="37"/>
      <c r="H6" s="35"/>
      <c r="I6" s="35"/>
      <c r="J6" s="35"/>
    </row>
    <row r="7" spans="2:10" ht="15.75" thickBot="1" x14ac:dyDescent="0.3">
      <c r="B7" s="6" t="s">
        <v>10</v>
      </c>
      <c r="C7" s="35"/>
      <c r="D7" s="36">
        <v>13</v>
      </c>
      <c r="E7" s="36">
        <v>13</v>
      </c>
      <c r="F7" s="36">
        <v>0</v>
      </c>
      <c r="G7" s="37"/>
      <c r="H7" s="35"/>
      <c r="I7" s="35"/>
      <c r="J7" s="35"/>
    </row>
    <row r="8" spans="2:10" ht="15.75" thickBot="1" x14ac:dyDescent="0.3">
      <c r="B8" s="30" t="s">
        <v>24</v>
      </c>
      <c r="C8" s="33">
        <v>44501</v>
      </c>
      <c r="D8" s="34"/>
      <c r="E8" s="34"/>
      <c r="F8" s="34"/>
      <c r="G8" s="34"/>
      <c r="H8" s="38">
        <v>12</v>
      </c>
      <c r="I8" s="38">
        <v>38</v>
      </c>
      <c r="J8" s="38">
        <v>40</v>
      </c>
    </row>
    <row r="9" spans="2:10" ht="15.75" thickBot="1" x14ac:dyDescent="0.3">
      <c r="B9" s="6" t="s">
        <v>8</v>
      </c>
      <c r="C9" s="35"/>
      <c r="D9" s="36">
        <v>204</v>
      </c>
      <c r="E9" s="36">
        <v>171</v>
      </c>
      <c r="F9" s="36">
        <v>33</v>
      </c>
      <c r="G9" s="36">
        <v>46</v>
      </c>
      <c r="H9" s="35"/>
      <c r="I9" s="35"/>
      <c r="J9" s="35"/>
    </row>
    <row r="10" spans="2:10" ht="15.75" thickBot="1" x14ac:dyDescent="0.3">
      <c r="B10" s="6" t="s">
        <v>9</v>
      </c>
      <c r="C10" s="35"/>
      <c r="D10" s="36">
        <v>204</v>
      </c>
      <c r="E10" s="36">
        <v>146</v>
      </c>
      <c r="F10" s="36">
        <v>58</v>
      </c>
      <c r="G10" s="36">
        <v>5</v>
      </c>
      <c r="H10" s="35"/>
      <c r="I10" s="35"/>
      <c r="J10" s="35"/>
    </row>
    <row r="11" spans="2:10" ht="15.75" thickBot="1" x14ac:dyDescent="0.3">
      <c r="B11" s="6" t="s">
        <v>10</v>
      </c>
      <c r="C11" s="35"/>
      <c r="D11" s="36">
        <v>202</v>
      </c>
      <c r="E11" s="36">
        <v>173</v>
      </c>
      <c r="F11" s="36">
        <v>29</v>
      </c>
      <c r="G11" s="36">
        <v>17</v>
      </c>
      <c r="H11" s="35"/>
      <c r="I11" s="35"/>
      <c r="J11" s="35"/>
    </row>
    <row r="12" spans="2:10" ht="15" thickBot="1" x14ac:dyDescent="0.35">
      <c r="B12" s="7" t="s">
        <v>26</v>
      </c>
      <c r="C12" s="39">
        <v>44228</v>
      </c>
      <c r="D12" s="40"/>
      <c r="E12" s="40"/>
      <c r="F12" s="40"/>
      <c r="G12" s="37"/>
      <c r="H12" s="35"/>
      <c r="I12" s="35"/>
      <c r="J12" s="35"/>
    </row>
    <row r="13" spans="2:10" ht="15.75" thickBot="1" x14ac:dyDescent="0.3">
      <c r="B13" s="8" t="s">
        <v>11</v>
      </c>
      <c r="C13" s="35"/>
      <c r="D13" s="36">
        <v>22</v>
      </c>
      <c r="E13" s="36">
        <v>22</v>
      </c>
      <c r="F13" s="36">
        <v>0</v>
      </c>
      <c r="G13" s="37"/>
      <c r="H13" s="35"/>
      <c r="I13" s="35"/>
      <c r="J13" s="35"/>
    </row>
    <row r="14" spans="2:10" ht="15.75" thickBot="1" x14ac:dyDescent="0.3">
      <c r="B14" s="8" t="s">
        <v>12</v>
      </c>
      <c r="C14" s="35"/>
      <c r="D14" s="36">
        <v>30</v>
      </c>
      <c r="E14" s="36">
        <v>29</v>
      </c>
      <c r="F14" s="36">
        <v>1</v>
      </c>
      <c r="G14" s="37"/>
      <c r="H14" s="35"/>
      <c r="I14" s="35"/>
      <c r="J14" s="35"/>
    </row>
    <row r="15" spans="2:10" ht="15" thickBot="1" x14ac:dyDescent="0.35">
      <c r="B15" s="7" t="s">
        <v>27</v>
      </c>
      <c r="C15" s="41">
        <v>44287</v>
      </c>
      <c r="D15" s="37"/>
      <c r="E15" s="37"/>
      <c r="F15" s="37"/>
      <c r="G15" s="37"/>
      <c r="H15" s="35"/>
      <c r="I15" s="35"/>
      <c r="J15" s="35"/>
    </row>
    <row r="16" spans="2:10" ht="15" thickBot="1" x14ac:dyDescent="0.35">
      <c r="B16" s="8" t="s">
        <v>11</v>
      </c>
      <c r="C16" s="35"/>
      <c r="D16" s="36">
        <v>175</v>
      </c>
      <c r="E16" s="36">
        <v>148</v>
      </c>
      <c r="F16" s="36">
        <v>27</v>
      </c>
      <c r="G16" s="36">
        <v>23</v>
      </c>
      <c r="H16" s="35"/>
      <c r="I16" s="35"/>
      <c r="J16" s="35"/>
    </row>
    <row r="17" spans="2:10" ht="15" thickBot="1" x14ac:dyDescent="0.35">
      <c r="B17" s="8" t="s">
        <v>12</v>
      </c>
      <c r="C17" s="35"/>
      <c r="D17" s="36">
        <v>175</v>
      </c>
      <c r="E17" s="36">
        <v>170</v>
      </c>
      <c r="F17" s="36">
        <v>5</v>
      </c>
      <c r="G17" s="36">
        <v>80</v>
      </c>
      <c r="H17" s="35"/>
      <c r="I17" s="35"/>
      <c r="J17" s="35"/>
    </row>
    <row r="18" spans="2:10" ht="15" thickBot="1" x14ac:dyDescent="0.35">
      <c r="B18" s="9" t="s">
        <v>28</v>
      </c>
      <c r="C18" s="39">
        <v>44228</v>
      </c>
      <c r="D18" s="40"/>
      <c r="E18" s="40"/>
      <c r="F18" s="40"/>
      <c r="G18" s="40"/>
      <c r="H18" s="40"/>
      <c r="I18" s="42">
        <v>1</v>
      </c>
      <c r="J18" s="40"/>
    </row>
    <row r="19" spans="2:10" ht="15" thickBot="1" x14ac:dyDescent="0.35">
      <c r="B19" s="10" t="s">
        <v>13</v>
      </c>
      <c r="C19" s="35"/>
      <c r="D19" s="36">
        <v>24</v>
      </c>
      <c r="E19" s="36">
        <v>22</v>
      </c>
      <c r="F19" s="36">
        <v>2</v>
      </c>
      <c r="G19" s="37"/>
      <c r="H19" s="35"/>
      <c r="I19" s="35"/>
      <c r="J19" s="35"/>
    </row>
    <row r="20" spans="2:10" ht="15" thickBot="1" x14ac:dyDescent="0.35">
      <c r="B20" s="10" t="s">
        <v>14</v>
      </c>
      <c r="C20" s="35"/>
      <c r="D20" s="36">
        <v>7</v>
      </c>
      <c r="E20" s="36">
        <v>7</v>
      </c>
      <c r="F20" s="36">
        <v>0</v>
      </c>
      <c r="G20" s="37"/>
      <c r="H20" s="35"/>
      <c r="I20" s="35"/>
      <c r="J20" s="35"/>
    </row>
    <row r="21" spans="2:10" ht="15" thickBot="1" x14ac:dyDescent="0.35">
      <c r="B21" s="10" t="s">
        <v>15</v>
      </c>
      <c r="C21" s="35"/>
      <c r="D21" s="36">
        <v>20</v>
      </c>
      <c r="E21" s="36">
        <v>18</v>
      </c>
      <c r="F21" s="36">
        <v>2</v>
      </c>
      <c r="G21" s="36">
        <v>1</v>
      </c>
      <c r="H21" s="35"/>
      <c r="I21" s="35"/>
      <c r="J21" s="35"/>
    </row>
    <row r="22" spans="2:10" ht="15" thickBot="1" x14ac:dyDescent="0.35">
      <c r="B22" s="10" t="s">
        <v>16</v>
      </c>
      <c r="C22" s="35"/>
      <c r="D22" s="36">
        <v>31</v>
      </c>
      <c r="E22" s="36">
        <v>30</v>
      </c>
      <c r="F22" s="36">
        <v>1</v>
      </c>
      <c r="G22" s="37"/>
      <c r="H22" s="35"/>
      <c r="I22" s="35"/>
      <c r="J22" s="35"/>
    </row>
    <row r="23" spans="2:10" ht="15" thickBot="1" x14ac:dyDescent="0.35">
      <c r="B23" s="9" t="s">
        <v>43</v>
      </c>
      <c r="C23" s="39">
        <v>44378</v>
      </c>
      <c r="D23" s="40"/>
      <c r="E23" s="40"/>
      <c r="F23" s="40"/>
      <c r="G23" s="37"/>
      <c r="H23" s="42">
        <v>6</v>
      </c>
      <c r="I23" s="42">
        <v>19</v>
      </c>
      <c r="J23" s="42">
        <v>40</v>
      </c>
    </row>
    <row r="24" spans="2:10" ht="15" thickBot="1" x14ac:dyDescent="0.35">
      <c r="B24" s="10" t="s">
        <v>13</v>
      </c>
      <c r="C24" s="35"/>
      <c r="D24" s="36">
        <v>157</v>
      </c>
      <c r="E24" s="36">
        <v>128</v>
      </c>
      <c r="F24" s="36">
        <v>29</v>
      </c>
      <c r="G24" s="36">
        <v>3</v>
      </c>
      <c r="H24" s="35"/>
      <c r="I24" s="35"/>
      <c r="J24" s="35"/>
    </row>
    <row r="25" spans="2:10" ht="15" thickBot="1" x14ac:dyDescent="0.35">
      <c r="B25" s="10" t="s">
        <v>14</v>
      </c>
      <c r="C25" s="35"/>
      <c r="D25" s="36">
        <v>155</v>
      </c>
      <c r="E25" s="36">
        <v>145</v>
      </c>
      <c r="F25" s="36">
        <v>10</v>
      </c>
      <c r="G25" s="36">
        <v>1</v>
      </c>
      <c r="H25" s="35"/>
      <c r="I25" s="35"/>
      <c r="J25" s="35"/>
    </row>
    <row r="26" spans="2:10" ht="15" thickBot="1" x14ac:dyDescent="0.35">
      <c r="B26" s="10" t="s">
        <v>15</v>
      </c>
      <c r="C26" s="35"/>
      <c r="D26" s="36">
        <v>157</v>
      </c>
      <c r="E26" s="36">
        <v>129</v>
      </c>
      <c r="F26" s="36">
        <v>28</v>
      </c>
      <c r="G26" s="36">
        <v>12</v>
      </c>
      <c r="H26" s="35"/>
      <c r="I26" s="35"/>
      <c r="J26" s="35"/>
    </row>
    <row r="27" spans="2:10" ht="15" thickBot="1" x14ac:dyDescent="0.35">
      <c r="B27" s="10" t="s">
        <v>16</v>
      </c>
      <c r="C27" s="35"/>
      <c r="D27" s="36">
        <v>156</v>
      </c>
      <c r="E27" s="36">
        <v>122</v>
      </c>
      <c r="F27" s="36">
        <v>34</v>
      </c>
      <c r="G27" s="36">
        <v>6</v>
      </c>
      <c r="H27" s="35"/>
      <c r="I27" s="35"/>
      <c r="J27" s="35"/>
    </row>
    <row r="28" spans="2:10" ht="15" thickBot="1" x14ac:dyDescent="0.35">
      <c r="B28" s="11" t="s">
        <v>29</v>
      </c>
      <c r="C28" s="39" t="s">
        <v>78</v>
      </c>
      <c r="D28" s="40"/>
      <c r="E28" s="40"/>
      <c r="F28" s="40"/>
      <c r="G28" s="40"/>
      <c r="H28" s="42">
        <v>2</v>
      </c>
      <c r="I28" s="42">
        <v>20</v>
      </c>
      <c r="J28" s="42">
        <v>48</v>
      </c>
    </row>
    <row r="29" spans="2:10" ht="15" thickBot="1" x14ac:dyDescent="0.35">
      <c r="B29" s="12" t="s">
        <v>17</v>
      </c>
      <c r="C29" s="35"/>
      <c r="D29" s="36">
        <v>158</v>
      </c>
      <c r="E29" s="36">
        <v>153</v>
      </c>
      <c r="F29" s="36">
        <v>5</v>
      </c>
      <c r="G29" s="36">
        <v>13</v>
      </c>
      <c r="H29" s="35"/>
      <c r="I29" s="35"/>
      <c r="J29" s="35"/>
    </row>
    <row r="30" spans="2:10" ht="15" thickBot="1" x14ac:dyDescent="0.35">
      <c r="B30" s="12" t="s">
        <v>18</v>
      </c>
      <c r="C30" s="35"/>
      <c r="D30" s="36">
        <v>156</v>
      </c>
      <c r="E30" s="36">
        <v>152</v>
      </c>
      <c r="F30" s="36">
        <v>4</v>
      </c>
      <c r="G30" s="36">
        <v>10</v>
      </c>
      <c r="H30" s="35"/>
      <c r="I30" s="35"/>
      <c r="J30" s="35"/>
    </row>
    <row r="31" spans="2:10" ht="15" thickBot="1" x14ac:dyDescent="0.35">
      <c r="B31" s="12" t="s">
        <v>19</v>
      </c>
      <c r="C31" s="35"/>
      <c r="D31" s="36">
        <v>159</v>
      </c>
      <c r="E31" s="36">
        <v>153</v>
      </c>
      <c r="F31" s="36">
        <v>6</v>
      </c>
      <c r="G31" s="36">
        <v>1</v>
      </c>
      <c r="H31" s="35"/>
      <c r="I31" s="35"/>
      <c r="J31" s="35"/>
    </row>
    <row r="32" spans="2:10" ht="15" thickBot="1" x14ac:dyDescent="0.35">
      <c r="B32" s="12" t="s">
        <v>20</v>
      </c>
      <c r="C32" s="35"/>
      <c r="D32" s="36">
        <v>154</v>
      </c>
      <c r="E32" s="36">
        <v>151</v>
      </c>
      <c r="F32" s="36">
        <v>3</v>
      </c>
      <c r="G32" s="36">
        <v>22</v>
      </c>
      <c r="H32" s="35"/>
      <c r="I32" s="35"/>
      <c r="J32" s="35"/>
    </row>
    <row r="33" spans="2:10" ht="15" thickBot="1" x14ac:dyDescent="0.35">
      <c r="B33" s="12" t="s">
        <v>21</v>
      </c>
      <c r="C33" s="35"/>
      <c r="D33" s="36">
        <v>159</v>
      </c>
      <c r="E33" s="36">
        <v>148</v>
      </c>
      <c r="F33" s="36">
        <v>11</v>
      </c>
      <c r="G33" s="36">
        <v>3</v>
      </c>
      <c r="H33" s="35"/>
      <c r="I33" s="35"/>
      <c r="J33" s="35"/>
    </row>
    <row r="34" spans="2:10" ht="15" thickBot="1" x14ac:dyDescent="0.35">
      <c r="B34" s="11" t="s">
        <v>30</v>
      </c>
      <c r="C34" s="39" t="s">
        <v>79</v>
      </c>
      <c r="D34" s="40"/>
      <c r="E34" s="40"/>
      <c r="F34" s="40"/>
      <c r="G34" s="37"/>
      <c r="H34" s="37"/>
      <c r="I34" s="37"/>
      <c r="J34" s="42">
        <v>1</v>
      </c>
    </row>
    <row r="35" spans="2:10" ht="15" thickBot="1" x14ac:dyDescent="0.35">
      <c r="B35" s="12" t="s">
        <v>17</v>
      </c>
      <c r="C35" s="35"/>
      <c r="D35" s="36">
        <v>12</v>
      </c>
      <c r="E35" s="36">
        <v>8</v>
      </c>
      <c r="F35" s="36">
        <v>4</v>
      </c>
      <c r="G35" s="37"/>
      <c r="H35" s="35"/>
      <c r="I35" s="35"/>
      <c r="J35" s="35"/>
    </row>
    <row r="36" spans="2:10" ht="15" thickBot="1" x14ac:dyDescent="0.35">
      <c r="B36" s="12" t="s">
        <v>18</v>
      </c>
      <c r="C36" s="35"/>
      <c r="D36" s="36">
        <v>11</v>
      </c>
      <c r="E36" s="36">
        <v>9</v>
      </c>
      <c r="F36" s="36">
        <v>2</v>
      </c>
      <c r="G36" s="37"/>
      <c r="H36" s="35"/>
      <c r="I36" s="35"/>
      <c r="J36" s="35"/>
    </row>
    <row r="37" spans="2:10" ht="15" thickBot="1" x14ac:dyDescent="0.35">
      <c r="B37" s="12" t="s">
        <v>19</v>
      </c>
      <c r="C37" s="35"/>
      <c r="D37" s="36">
        <v>13</v>
      </c>
      <c r="E37" s="36">
        <v>11</v>
      </c>
      <c r="F37" s="36">
        <v>2</v>
      </c>
      <c r="G37" s="37"/>
      <c r="H37" s="35"/>
      <c r="I37" s="35"/>
      <c r="J37" s="35"/>
    </row>
    <row r="38" spans="2:10" ht="15" thickBot="1" x14ac:dyDescent="0.35">
      <c r="B38" s="12" t="s">
        <v>20</v>
      </c>
      <c r="C38" s="35"/>
      <c r="D38" s="36">
        <v>10</v>
      </c>
      <c r="E38" s="36">
        <v>10</v>
      </c>
      <c r="F38" s="36">
        <v>0</v>
      </c>
      <c r="G38" s="36">
        <v>1</v>
      </c>
      <c r="H38" s="35"/>
      <c r="I38" s="35"/>
      <c r="J38" s="35"/>
    </row>
    <row r="39" spans="2:10" ht="15" thickBot="1" x14ac:dyDescent="0.35">
      <c r="B39" s="12" t="s">
        <v>21</v>
      </c>
      <c r="C39" s="35"/>
      <c r="D39" s="36">
        <v>18</v>
      </c>
      <c r="E39" s="36">
        <v>14</v>
      </c>
      <c r="F39" s="36">
        <v>4</v>
      </c>
      <c r="G39" s="37"/>
      <c r="H39" s="35"/>
      <c r="I39" s="35"/>
      <c r="J39" s="35"/>
    </row>
  </sheetData>
  <mergeCells count="1">
    <mergeCell ref="B2:J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2"/>
  <sheetViews>
    <sheetView topLeftCell="A5" workbookViewId="0">
      <selection activeCell="K11" sqref="K11"/>
    </sheetView>
  </sheetViews>
  <sheetFormatPr defaultRowHeight="14.4" x14ac:dyDescent="0.3"/>
  <cols>
    <col min="1" max="1" width="5.6640625" customWidth="1"/>
    <col min="2" max="2" width="19.88671875" customWidth="1"/>
    <col min="3" max="3" width="15.33203125" customWidth="1"/>
    <col min="4" max="4" width="11.5546875" customWidth="1"/>
    <col min="5" max="5" width="12" customWidth="1"/>
    <col min="6" max="6" width="12.109375" customWidth="1"/>
    <col min="7" max="7" width="12.88671875" customWidth="1"/>
    <col min="8" max="8" width="13.109375" customWidth="1"/>
    <col min="9" max="9" width="12.5546875" customWidth="1"/>
    <col min="10" max="10" width="13.5546875" customWidth="1"/>
  </cols>
  <sheetData>
    <row r="2" spans="2:14" ht="19.5" thickBot="1" x14ac:dyDescent="0.35">
      <c r="B2" s="13" t="s">
        <v>31</v>
      </c>
    </row>
    <row r="3" spans="2:14" ht="90.7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22</v>
      </c>
      <c r="G3" s="2" t="s">
        <v>4</v>
      </c>
      <c r="H3" s="2" t="s">
        <v>5</v>
      </c>
      <c r="I3" s="2" t="s">
        <v>6</v>
      </c>
      <c r="J3" s="2" t="s">
        <v>7</v>
      </c>
    </row>
    <row r="4" spans="2:14" ht="15.75" thickBot="1" x14ac:dyDescent="0.3">
      <c r="B4" s="5" t="s">
        <v>23</v>
      </c>
      <c r="C4" s="3" t="s">
        <v>32</v>
      </c>
      <c r="D4" s="3">
        <v>186</v>
      </c>
      <c r="E4" s="3">
        <v>111</v>
      </c>
      <c r="F4" s="3">
        <v>75</v>
      </c>
      <c r="G4" s="15"/>
      <c r="H4" s="3">
        <v>9</v>
      </c>
      <c r="I4" s="3">
        <v>9</v>
      </c>
      <c r="J4" s="3">
        <v>30</v>
      </c>
    </row>
    <row r="5" spans="2:14" ht="15.75" thickBot="1" x14ac:dyDescent="0.3">
      <c r="B5" s="6" t="s">
        <v>8</v>
      </c>
      <c r="C5" s="14"/>
      <c r="D5" s="4">
        <v>184</v>
      </c>
      <c r="E5" s="4">
        <v>129</v>
      </c>
      <c r="F5" s="4">
        <v>55</v>
      </c>
      <c r="G5" s="4">
        <v>13</v>
      </c>
      <c r="H5" s="14"/>
      <c r="I5" s="14"/>
      <c r="J5" s="14"/>
    </row>
    <row r="6" spans="2:14" ht="15.75" thickBot="1" x14ac:dyDescent="0.3">
      <c r="B6" s="6" t="s">
        <v>9</v>
      </c>
      <c r="C6" s="14"/>
      <c r="D6" s="4">
        <v>181</v>
      </c>
      <c r="E6" s="4">
        <v>129</v>
      </c>
      <c r="F6" s="4">
        <v>52</v>
      </c>
      <c r="G6" s="4">
        <v>7</v>
      </c>
      <c r="H6" s="14"/>
      <c r="I6" s="14"/>
      <c r="J6" s="14"/>
    </row>
    <row r="7" spans="2:14" ht="15.75" thickBot="1" x14ac:dyDescent="0.3">
      <c r="B7" s="6" t="s">
        <v>10</v>
      </c>
      <c r="C7" s="14"/>
      <c r="D7" s="4">
        <v>181</v>
      </c>
      <c r="E7" s="4">
        <v>134</v>
      </c>
      <c r="F7" s="4">
        <v>47</v>
      </c>
      <c r="G7" s="4">
        <v>7</v>
      </c>
      <c r="H7" s="14"/>
      <c r="I7" s="14"/>
      <c r="J7" s="14"/>
      <c r="N7" t="s">
        <v>47</v>
      </c>
    </row>
    <row r="8" spans="2:14" ht="15.75" thickBot="1" x14ac:dyDescent="0.3">
      <c r="B8" s="5" t="s">
        <v>24</v>
      </c>
      <c r="C8" s="3" t="s">
        <v>33</v>
      </c>
      <c r="D8" s="3">
        <v>75</v>
      </c>
      <c r="E8" s="3">
        <v>64</v>
      </c>
      <c r="F8" s="3">
        <v>11</v>
      </c>
      <c r="G8" s="15"/>
      <c r="H8" s="3"/>
      <c r="I8" s="3"/>
      <c r="J8" s="3"/>
    </row>
    <row r="9" spans="2:14" ht="15.75" thickBot="1" x14ac:dyDescent="0.3">
      <c r="B9" s="6" t="s">
        <v>8</v>
      </c>
      <c r="C9" s="14"/>
      <c r="D9" s="24">
        <v>56</v>
      </c>
      <c r="E9" s="24">
        <v>48</v>
      </c>
      <c r="F9" s="24">
        <v>7</v>
      </c>
      <c r="G9" s="4"/>
      <c r="H9" s="14"/>
      <c r="I9" s="14"/>
      <c r="J9" s="14"/>
    </row>
    <row r="10" spans="2:14" ht="15.75" thickBot="1" x14ac:dyDescent="0.3">
      <c r="B10" s="6" t="s">
        <v>9</v>
      </c>
      <c r="C10" s="14"/>
      <c r="D10" s="24">
        <v>53</v>
      </c>
      <c r="E10" s="24">
        <v>44</v>
      </c>
      <c r="F10" s="24">
        <v>8</v>
      </c>
      <c r="G10" s="4"/>
      <c r="H10" s="14"/>
      <c r="I10" s="14"/>
      <c r="J10" s="14"/>
    </row>
    <row r="11" spans="2:14" ht="15.75" thickBot="1" x14ac:dyDescent="0.3">
      <c r="B11" s="6" t="s">
        <v>10</v>
      </c>
      <c r="C11" s="14"/>
      <c r="D11" s="4">
        <v>47</v>
      </c>
      <c r="E11" s="4">
        <v>45</v>
      </c>
      <c r="F11" s="4">
        <v>2</v>
      </c>
      <c r="G11" s="4"/>
      <c r="H11" s="14"/>
      <c r="I11" s="14"/>
      <c r="J11" s="14"/>
    </row>
    <row r="12" spans="2:14" ht="15.75" thickBot="1" x14ac:dyDescent="0.3">
      <c r="B12" s="5" t="s">
        <v>25</v>
      </c>
      <c r="C12" s="3" t="s">
        <v>34</v>
      </c>
      <c r="D12" s="3">
        <v>202</v>
      </c>
      <c r="E12" s="3">
        <v>149</v>
      </c>
      <c r="F12" s="3">
        <v>53</v>
      </c>
      <c r="G12" s="15"/>
      <c r="H12" s="3">
        <v>12</v>
      </c>
      <c r="I12" s="3">
        <v>34</v>
      </c>
      <c r="J12" s="3">
        <v>39</v>
      </c>
    </row>
    <row r="13" spans="2:14" ht="15.75" thickBot="1" x14ac:dyDescent="0.3">
      <c r="B13" s="6" t="s">
        <v>8</v>
      </c>
      <c r="C13" s="14"/>
      <c r="D13" s="4">
        <v>198</v>
      </c>
      <c r="E13" s="4">
        <v>160</v>
      </c>
      <c r="F13" s="4">
        <v>38</v>
      </c>
      <c r="G13" s="4">
        <v>19</v>
      </c>
      <c r="H13" s="14"/>
      <c r="I13" s="14"/>
      <c r="J13" s="14"/>
    </row>
    <row r="14" spans="2:14" ht="15.75" thickBot="1" x14ac:dyDescent="0.3">
      <c r="B14" s="6" t="s">
        <v>9</v>
      </c>
      <c r="C14" s="14"/>
      <c r="D14" s="4">
        <v>199</v>
      </c>
      <c r="E14" s="4">
        <v>159</v>
      </c>
      <c r="F14" s="4">
        <v>40</v>
      </c>
      <c r="G14" s="4">
        <v>3</v>
      </c>
      <c r="H14" s="14"/>
      <c r="I14" s="14"/>
      <c r="J14" s="14"/>
    </row>
    <row r="15" spans="2:14" ht="15.75" thickBot="1" x14ac:dyDescent="0.3">
      <c r="B15" s="6" t="s">
        <v>10</v>
      </c>
      <c r="C15" s="14"/>
      <c r="D15" s="4">
        <v>193</v>
      </c>
      <c r="E15" s="4">
        <v>180</v>
      </c>
      <c r="F15" s="4">
        <v>13</v>
      </c>
      <c r="G15" s="4">
        <v>38</v>
      </c>
      <c r="H15" s="14"/>
      <c r="I15" s="14"/>
      <c r="J15" s="14"/>
    </row>
    <row r="16" spans="2:14" ht="15" thickBot="1" x14ac:dyDescent="0.35">
      <c r="B16" s="7" t="s">
        <v>26</v>
      </c>
      <c r="C16" s="20" t="s">
        <v>33</v>
      </c>
      <c r="D16" s="20">
        <v>8</v>
      </c>
      <c r="E16" s="20">
        <v>7</v>
      </c>
      <c r="F16" s="20">
        <v>1</v>
      </c>
      <c r="G16" s="14"/>
      <c r="H16" s="4"/>
      <c r="I16" s="4"/>
      <c r="J16" s="4"/>
    </row>
    <row r="17" spans="2:10" ht="15" thickBot="1" x14ac:dyDescent="0.35">
      <c r="B17" s="8" t="s">
        <v>11</v>
      </c>
      <c r="C17" s="14"/>
      <c r="D17" s="4">
        <v>8</v>
      </c>
      <c r="E17" s="4">
        <v>7</v>
      </c>
      <c r="F17" s="4">
        <v>1</v>
      </c>
      <c r="G17" s="4"/>
      <c r="H17" s="14"/>
      <c r="I17" s="14"/>
      <c r="J17" s="14"/>
    </row>
    <row r="18" spans="2:10" ht="15" thickBot="1" x14ac:dyDescent="0.35">
      <c r="B18" s="8" t="s">
        <v>12</v>
      </c>
      <c r="C18" s="14"/>
      <c r="D18" s="4">
        <v>3</v>
      </c>
      <c r="E18" s="4">
        <v>2</v>
      </c>
      <c r="F18" s="4">
        <v>1</v>
      </c>
      <c r="G18" s="4"/>
      <c r="H18" s="14"/>
      <c r="I18" s="14"/>
      <c r="J18" s="14"/>
    </row>
    <row r="19" spans="2:10" ht="15" thickBot="1" x14ac:dyDescent="0.35">
      <c r="B19" s="7" t="s">
        <v>27</v>
      </c>
      <c r="C19" s="20" t="s">
        <v>35</v>
      </c>
      <c r="D19" s="20">
        <v>156</v>
      </c>
      <c r="E19" s="20">
        <v>121</v>
      </c>
      <c r="F19" s="20">
        <v>35</v>
      </c>
      <c r="G19" s="14"/>
      <c r="H19" s="27"/>
      <c r="I19" s="27"/>
      <c r="J19" s="27"/>
    </row>
    <row r="20" spans="2:10" ht="15" thickBot="1" x14ac:dyDescent="0.35">
      <c r="B20" s="8" t="s">
        <v>11</v>
      </c>
      <c r="C20" s="14"/>
      <c r="D20" s="4">
        <v>156</v>
      </c>
      <c r="E20" s="4">
        <v>135</v>
      </c>
      <c r="F20" s="4">
        <v>21</v>
      </c>
      <c r="G20" s="4">
        <v>12</v>
      </c>
      <c r="H20" s="14"/>
      <c r="I20" s="14"/>
      <c r="J20" s="14"/>
    </row>
    <row r="21" spans="2:10" ht="15" thickBot="1" x14ac:dyDescent="0.35">
      <c r="B21" s="8" t="s">
        <v>12</v>
      </c>
      <c r="C21" s="14"/>
      <c r="D21" s="4">
        <v>156</v>
      </c>
      <c r="E21" s="4">
        <v>127</v>
      </c>
      <c r="F21" s="4">
        <v>29</v>
      </c>
      <c r="G21" s="4">
        <v>26</v>
      </c>
      <c r="H21" s="14"/>
      <c r="I21" s="14"/>
      <c r="J21" s="14"/>
    </row>
    <row r="22" spans="2:10" ht="15" thickBot="1" x14ac:dyDescent="0.35">
      <c r="B22" s="9" t="s">
        <v>28</v>
      </c>
      <c r="C22" s="20" t="s">
        <v>36</v>
      </c>
      <c r="D22" s="20">
        <v>176</v>
      </c>
      <c r="E22" s="20">
        <v>136</v>
      </c>
      <c r="F22" s="20">
        <v>40</v>
      </c>
      <c r="G22" s="14"/>
      <c r="H22" s="24">
        <v>12</v>
      </c>
      <c r="I22" s="24">
        <v>27</v>
      </c>
      <c r="J22" s="24">
        <v>52</v>
      </c>
    </row>
    <row r="23" spans="2:10" ht="15" thickBot="1" x14ac:dyDescent="0.35">
      <c r="B23" s="10" t="s">
        <v>13</v>
      </c>
      <c r="C23" s="14"/>
      <c r="D23" s="4">
        <v>170</v>
      </c>
      <c r="E23" s="4">
        <v>147</v>
      </c>
      <c r="F23" s="4">
        <v>23</v>
      </c>
      <c r="G23" s="4">
        <v>9</v>
      </c>
      <c r="H23" s="14"/>
      <c r="I23" s="14"/>
      <c r="J23" s="14"/>
    </row>
    <row r="24" spans="2:10" ht="15" thickBot="1" x14ac:dyDescent="0.35">
      <c r="B24" s="10" t="s">
        <v>14</v>
      </c>
      <c r="C24" s="14"/>
      <c r="D24" s="4">
        <v>170</v>
      </c>
      <c r="E24" s="4">
        <v>165</v>
      </c>
      <c r="F24" s="4">
        <v>5</v>
      </c>
      <c r="G24" s="4">
        <v>6</v>
      </c>
      <c r="H24" s="14"/>
      <c r="I24" s="14"/>
      <c r="J24" s="14"/>
    </row>
    <row r="25" spans="2:10" ht="15" thickBot="1" x14ac:dyDescent="0.35">
      <c r="B25" s="10" t="s">
        <v>15</v>
      </c>
      <c r="C25" s="14"/>
      <c r="D25" s="4">
        <v>171</v>
      </c>
      <c r="E25" s="4">
        <v>152</v>
      </c>
      <c r="F25" s="4">
        <v>19</v>
      </c>
      <c r="G25" s="4">
        <v>23</v>
      </c>
      <c r="H25" s="14"/>
      <c r="I25" s="14"/>
      <c r="J25" s="14"/>
    </row>
    <row r="26" spans="2:10" ht="15" thickBot="1" x14ac:dyDescent="0.35">
      <c r="B26" s="10" t="s">
        <v>16</v>
      </c>
      <c r="C26" s="14"/>
      <c r="D26" s="4">
        <v>175</v>
      </c>
      <c r="E26" s="4">
        <v>145</v>
      </c>
      <c r="F26" s="4">
        <v>30</v>
      </c>
      <c r="G26" s="4">
        <v>15</v>
      </c>
      <c r="H26" s="14"/>
      <c r="I26" s="14"/>
      <c r="J26" s="14"/>
    </row>
    <row r="27" spans="2:10" ht="15" thickBot="1" x14ac:dyDescent="0.35">
      <c r="B27" s="11" t="s">
        <v>29</v>
      </c>
      <c r="C27" s="20" t="s">
        <v>37</v>
      </c>
      <c r="D27" s="20">
        <v>177</v>
      </c>
      <c r="E27" s="20">
        <v>136</v>
      </c>
      <c r="F27" s="20">
        <v>41</v>
      </c>
      <c r="G27" s="18"/>
      <c r="H27" s="20"/>
      <c r="I27" s="20">
        <v>22</v>
      </c>
      <c r="J27" s="20">
        <v>58</v>
      </c>
    </row>
    <row r="28" spans="2:10" ht="15" thickBot="1" x14ac:dyDescent="0.35">
      <c r="B28" s="12" t="s">
        <v>17</v>
      </c>
      <c r="C28" s="14"/>
      <c r="D28" s="4">
        <v>166</v>
      </c>
      <c r="E28" s="4">
        <v>148</v>
      </c>
      <c r="F28" s="4">
        <v>18</v>
      </c>
      <c r="G28" s="4">
        <v>3</v>
      </c>
      <c r="H28" s="14"/>
      <c r="I28" s="14"/>
      <c r="J28" s="14"/>
    </row>
    <row r="29" spans="2:10" ht="15" thickBot="1" x14ac:dyDescent="0.35">
      <c r="B29" s="12" t="s">
        <v>18</v>
      </c>
      <c r="C29" s="14"/>
      <c r="D29" s="4">
        <v>175</v>
      </c>
      <c r="E29" s="4">
        <v>152</v>
      </c>
      <c r="F29" s="4">
        <v>23</v>
      </c>
      <c r="G29" s="4">
        <v>12</v>
      </c>
      <c r="H29" s="14"/>
      <c r="I29" s="14"/>
      <c r="J29" s="14"/>
    </row>
    <row r="30" spans="2:10" ht="15" thickBot="1" x14ac:dyDescent="0.35">
      <c r="B30" s="12" t="s">
        <v>19</v>
      </c>
      <c r="C30" s="14"/>
      <c r="D30" s="4">
        <v>165</v>
      </c>
      <c r="E30" s="4">
        <v>148</v>
      </c>
      <c r="F30" s="4">
        <v>17</v>
      </c>
      <c r="G30" s="4"/>
      <c r="H30" s="14"/>
      <c r="I30" s="14"/>
      <c r="J30" s="14"/>
    </row>
    <row r="31" spans="2:10" ht="15" thickBot="1" x14ac:dyDescent="0.35">
      <c r="B31" s="12" t="s">
        <v>20</v>
      </c>
      <c r="C31" s="14"/>
      <c r="D31" s="4">
        <v>162</v>
      </c>
      <c r="E31" s="4">
        <v>159</v>
      </c>
      <c r="F31" s="4">
        <v>3</v>
      </c>
      <c r="G31" s="4">
        <v>15</v>
      </c>
      <c r="H31" s="14"/>
      <c r="I31" s="14"/>
      <c r="J31" s="14"/>
    </row>
    <row r="32" spans="2:10" ht="15" thickBot="1" x14ac:dyDescent="0.35">
      <c r="B32" s="12" t="s">
        <v>21</v>
      </c>
      <c r="C32" s="14"/>
      <c r="D32" s="4">
        <v>168</v>
      </c>
      <c r="E32" s="4">
        <v>147</v>
      </c>
      <c r="F32" s="4">
        <v>21</v>
      </c>
      <c r="G32" s="4">
        <v>2</v>
      </c>
      <c r="H32" s="14"/>
      <c r="I32" s="14"/>
      <c r="J32" s="14"/>
    </row>
    <row r="33" spans="2:10" ht="15" thickBot="1" x14ac:dyDescent="0.35">
      <c r="B33" s="11" t="s">
        <v>30</v>
      </c>
      <c r="C33" s="20" t="s">
        <v>38</v>
      </c>
      <c r="D33" s="20">
        <v>42</v>
      </c>
      <c r="E33" s="20">
        <v>36</v>
      </c>
      <c r="F33" s="20">
        <v>6</v>
      </c>
      <c r="G33" s="14"/>
      <c r="H33" s="4"/>
      <c r="I33" s="4"/>
      <c r="J33" s="4"/>
    </row>
    <row r="34" spans="2:10" ht="15" thickBot="1" x14ac:dyDescent="0.35">
      <c r="B34" s="12" t="s">
        <v>17</v>
      </c>
      <c r="C34" s="14"/>
      <c r="D34" s="4">
        <v>19</v>
      </c>
      <c r="E34" s="4">
        <v>16</v>
      </c>
      <c r="F34" s="4">
        <v>3</v>
      </c>
      <c r="G34" s="4"/>
      <c r="H34" s="14"/>
      <c r="I34" s="14"/>
      <c r="J34" s="14"/>
    </row>
    <row r="35" spans="2:10" ht="15" thickBot="1" x14ac:dyDescent="0.35">
      <c r="B35" s="12" t="s">
        <v>18</v>
      </c>
      <c r="C35" s="14"/>
      <c r="D35" s="4">
        <v>24</v>
      </c>
      <c r="E35" s="4">
        <v>23</v>
      </c>
      <c r="F35" s="4">
        <v>1</v>
      </c>
      <c r="G35" s="4"/>
      <c r="H35" s="14"/>
      <c r="I35" s="14"/>
      <c r="J35" s="14"/>
    </row>
    <row r="36" spans="2:10" ht="15" thickBot="1" x14ac:dyDescent="0.35">
      <c r="B36" s="12" t="s">
        <v>19</v>
      </c>
      <c r="C36" s="14"/>
      <c r="D36" s="4">
        <v>18</v>
      </c>
      <c r="E36" s="4">
        <v>14</v>
      </c>
      <c r="F36" s="4">
        <v>4</v>
      </c>
      <c r="G36" s="4"/>
      <c r="H36" s="14"/>
      <c r="I36" s="14"/>
      <c r="J36" s="14"/>
    </row>
    <row r="37" spans="2:10" ht="15" thickBot="1" x14ac:dyDescent="0.35">
      <c r="B37" s="12" t="s">
        <v>20</v>
      </c>
      <c r="C37" s="14"/>
      <c r="D37" s="4">
        <v>5</v>
      </c>
      <c r="E37" s="4">
        <v>5</v>
      </c>
      <c r="F37" s="4"/>
      <c r="G37" s="4"/>
      <c r="H37" s="14"/>
      <c r="I37" s="14"/>
      <c r="J37" s="14"/>
    </row>
    <row r="38" spans="2:10" ht="15" thickBot="1" x14ac:dyDescent="0.35">
      <c r="B38" s="12" t="s">
        <v>21</v>
      </c>
      <c r="C38" s="14"/>
      <c r="D38" s="4">
        <v>22</v>
      </c>
      <c r="E38" s="4">
        <v>18</v>
      </c>
      <c r="F38" s="4">
        <v>4</v>
      </c>
      <c r="G38" s="4"/>
      <c r="H38" s="14"/>
      <c r="I38" s="14"/>
      <c r="J38" s="14"/>
    </row>
    <row r="41" spans="2:10" ht="21.75" customHeight="1" x14ac:dyDescent="0.3"/>
    <row r="42" spans="2:10" ht="20.25" customHeight="1" x14ac:dyDescent="0.3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0"/>
  <sheetViews>
    <sheetView topLeftCell="A20" workbookViewId="0">
      <selection activeCell="D8" sqref="D8"/>
    </sheetView>
  </sheetViews>
  <sheetFormatPr defaultRowHeight="14.4" x14ac:dyDescent="0.3"/>
  <cols>
    <col min="1" max="1" width="5.6640625" customWidth="1"/>
    <col min="2" max="2" width="19.88671875" customWidth="1"/>
    <col min="3" max="3" width="15.33203125" customWidth="1"/>
    <col min="4" max="4" width="11.5546875" customWidth="1"/>
    <col min="5" max="5" width="12" customWidth="1"/>
    <col min="6" max="6" width="12.109375" customWidth="1"/>
    <col min="7" max="7" width="12.88671875" customWidth="1"/>
    <col min="8" max="8" width="13.109375" customWidth="1"/>
    <col min="9" max="9" width="12.5546875" customWidth="1"/>
    <col min="10" max="10" width="13.5546875" customWidth="1"/>
  </cols>
  <sheetData>
    <row r="2" spans="2:10" ht="19.5" thickBot="1" x14ac:dyDescent="0.35">
      <c r="B2" s="13" t="s">
        <v>39</v>
      </c>
    </row>
    <row r="3" spans="2:10" ht="90.7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22</v>
      </c>
      <c r="G3" s="2" t="s">
        <v>4</v>
      </c>
      <c r="H3" s="2" t="s">
        <v>5</v>
      </c>
      <c r="I3" s="2" t="s">
        <v>6</v>
      </c>
      <c r="J3" s="2" t="s">
        <v>7</v>
      </c>
    </row>
    <row r="4" spans="2:10" ht="15.75" thickBot="1" x14ac:dyDescent="0.3">
      <c r="B4" s="5" t="s">
        <v>23</v>
      </c>
      <c r="C4" s="16">
        <v>43586</v>
      </c>
      <c r="D4" s="3">
        <v>161</v>
      </c>
      <c r="E4" s="3">
        <v>113</v>
      </c>
      <c r="F4" s="3">
        <v>48</v>
      </c>
      <c r="G4" s="15"/>
      <c r="H4" s="3">
        <v>5</v>
      </c>
      <c r="I4" s="3">
        <v>19</v>
      </c>
      <c r="J4" s="3">
        <v>48</v>
      </c>
    </row>
    <row r="5" spans="2:10" ht="15.75" thickBot="1" x14ac:dyDescent="0.3">
      <c r="B5" s="6" t="s">
        <v>8</v>
      </c>
      <c r="C5" s="14"/>
      <c r="D5" s="4">
        <v>161</v>
      </c>
      <c r="E5" s="4">
        <v>130</v>
      </c>
      <c r="F5" s="4">
        <v>31</v>
      </c>
      <c r="G5" s="4">
        <v>13</v>
      </c>
      <c r="H5" s="14"/>
      <c r="I5" s="14"/>
      <c r="J5" s="14"/>
    </row>
    <row r="6" spans="2:10" ht="15.75" thickBot="1" x14ac:dyDescent="0.3">
      <c r="B6" s="6" t="s">
        <v>9</v>
      </c>
      <c r="C6" s="14"/>
      <c r="D6" s="4">
        <v>160</v>
      </c>
      <c r="E6" s="4">
        <v>129</v>
      </c>
      <c r="F6" s="4">
        <v>31</v>
      </c>
      <c r="G6" s="4">
        <v>5</v>
      </c>
      <c r="H6" s="14"/>
      <c r="I6" s="14"/>
      <c r="J6" s="14"/>
    </row>
    <row r="7" spans="2:10" ht="15.75" thickBot="1" x14ac:dyDescent="0.3">
      <c r="B7" s="6" t="s">
        <v>10</v>
      </c>
      <c r="C7" s="14"/>
      <c r="D7" s="4">
        <v>161</v>
      </c>
      <c r="E7" s="4">
        <v>137</v>
      </c>
      <c r="F7" s="4">
        <v>24</v>
      </c>
      <c r="G7" s="4"/>
      <c r="H7" s="14"/>
      <c r="I7" s="14"/>
      <c r="J7" s="14"/>
    </row>
    <row r="8" spans="2:10" ht="15.75" thickBot="1" x14ac:dyDescent="0.3">
      <c r="B8" s="5" t="s">
        <v>24</v>
      </c>
      <c r="C8" s="16">
        <v>43709</v>
      </c>
      <c r="D8" s="3">
        <v>49</v>
      </c>
      <c r="E8" s="3">
        <v>43</v>
      </c>
      <c r="F8" s="3">
        <v>6</v>
      </c>
      <c r="G8" s="15"/>
      <c r="H8" s="3"/>
      <c r="I8" s="3"/>
      <c r="J8" s="3"/>
    </row>
    <row r="9" spans="2:10" ht="15.75" thickBot="1" x14ac:dyDescent="0.3">
      <c r="B9" s="6" t="s">
        <v>8</v>
      </c>
      <c r="C9" s="14"/>
      <c r="D9" s="4">
        <v>32</v>
      </c>
      <c r="E9" s="4">
        <v>26</v>
      </c>
      <c r="F9" s="4">
        <v>6</v>
      </c>
      <c r="G9" s="4"/>
      <c r="H9" s="14"/>
      <c r="I9" s="14"/>
      <c r="J9" s="14"/>
    </row>
    <row r="10" spans="2:10" ht="15.75" thickBot="1" x14ac:dyDescent="0.3">
      <c r="B10" s="6" t="s">
        <v>9</v>
      </c>
      <c r="C10" s="14"/>
      <c r="D10" s="4">
        <v>33</v>
      </c>
      <c r="E10" s="4">
        <v>27</v>
      </c>
      <c r="F10" s="21">
        <v>6</v>
      </c>
      <c r="G10" s="4"/>
      <c r="H10" s="14"/>
      <c r="I10" s="14"/>
      <c r="J10" s="14"/>
    </row>
    <row r="11" spans="2:10" ht="15.75" thickBot="1" x14ac:dyDescent="0.3">
      <c r="B11" s="6" t="s">
        <v>10</v>
      </c>
      <c r="C11" s="14"/>
      <c r="D11" s="4">
        <v>25</v>
      </c>
      <c r="E11" s="4">
        <v>20</v>
      </c>
      <c r="F11" s="4">
        <v>5</v>
      </c>
      <c r="G11" s="4"/>
      <c r="H11" s="14"/>
      <c r="I11" s="14"/>
      <c r="J11" s="14"/>
    </row>
    <row r="12" spans="2:10" ht="15" thickBot="1" x14ac:dyDescent="0.35">
      <c r="B12" s="7" t="s">
        <v>26</v>
      </c>
      <c r="C12" s="19">
        <v>43770</v>
      </c>
      <c r="D12" s="20">
        <v>169</v>
      </c>
      <c r="E12" s="20">
        <v>161</v>
      </c>
      <c r="F12" s="20">
        <v>8</v>
      </c>
      <c r="G12" s="24"/>
      <c r="H12" s="24"/>
      <c r="I12" s="24"/>
      <c r="J12" s="24"/>
    </row>
    <row r="13" spans="2:10" ht="15.75" thickBot="1" x14ac:dyDescent="0.3">
      <c r="B13" s="8" t="s">
        <v>11</v>
      </c>
      <c r="C13" s="14"/>
      <c r="D13" s="4">
        <v>169</v>
      </c>
      <c r="E13" s="4">
        <v>161</v>
      </c>
      <c r="F13" s="4">
        <v>8</v>
      </c>
      <c r="G13" s="4">
        <v>17</v>
      </c>
      <c r="H13" s="14"/>
      <c r="I13" s="14"/>
      <c r="J13" s="14"/>
    </row>
    <row r="14" spans="2:10" ht="15.75" thickBot="1" x14ac:dyDescent="0.3">
      <c r="B14" s="8" t="s">
        <v>12</v>
      </c>
      <c r="C14" s="14"/>
      <c r="D14" s="4">
        <v>169</v>
      </c>
      <c r="E14" s="4">
        <v>166</v>
      </c>
      <c r="F14" s="4">
        <v>3</v>
      </c>
      <c r="G14" s="4">
        <v>28</v>
      </c>
      <c r="H14" s="14"/>
      <c r="I14" s="14"/>
      <c r="J14" s="14"/>
    </row>
    <row r="15" spans="2:10" ht="15" thickBot="1" x14ac:dyDescent="0.35">
      <c r="B15" s="9" t="s">
        <v>28</v>
      </c>
      <c r="C15" s="19">
        <v>43586</v>
      </c>
      <c r="D15" s="20">
        <v>165</v>
      </c>
      <c r="E15" s="20">
        <v>95</v>
      </c>
      <c r="F15" s="20">
        <v>70</v>
      </c>
      <c r="G15" s="18"/>
      <c r="H15" s="20">
        <v>3</v>
      </c>
      <c r="I15" s="20">
        <v>17</v>
      </c>
      <c r="J15" s="20">
        <v>30</v>
      </c>
    </row>
    <row r="16" spans="2:10" ht="15.75" thickBot="1" x14ac:dyDescent="0.3">
      <c r="B16" s="10" t="s">
        <v>13</v>
      </c>
      <c r="C16" s="14"/>
      <c r="D16" s="4">
        <v>162</v>
      </c>
      <c r="E16" s="4">
        <v>94</v>
      </c>
      <c r="F16" s="4">
        <v>68</v>
      </c>
      <c r="G16" s="4">
        <v>2</v>
      </c>
      <c r="H16" s="14"/>
      <c r="I16" s="14"/>
      <c r="J16" s="14"/>
    </row>
    <row r="17" spans="2:10" ht="15.75" thickBot="1" x14ac:dyDescent="0.3">
      <c r="B17" s="10" t="s">
        <v>14</v>
      </c>
      <c r="C17" s="14"/>
      <c r="D17" s="4">
        <v>163</v>
      </c>
      <c r="E17" s="4">
        <v>94</v>
      </c>
      <c r="F17" s="4">
        <v>69</v>
      </c>
      <c r="G17" s="4"/>
      <c r="H17" s="14"/>
      <c r="I17" s="14"/>
      <c r="J17" s="14"/>
    </row>
    <row r="18" spans="2:10" ht="15.75" thickBot="1" x14ac:dyDescent="0.3">
      <c r="B18" s="10" t="s">
        <v>15</v>
      </c>
      <c r="C18" s="14"/>
      <c r="D18" s="4">
        <v>164</v>
      </c>
      <c r="E18" s="4">
        <v>95</v>
      </c>
      <c r="F18" s="4">
        <v>69</v>
      </c>
      <c r="G18" s="4">
        <v>7</v>
      </c>
      <c r="H18" s="14"/>
      <c r="I18" s="14"/>
      <c r="J18" s="14"/>
    </row>
    <row r="19" spans="2:10" ht="15.75" thickBot="1" x14ac:dyDescent="0.3">
      <c r="B19" s="10" t="s">
        <v>16</v>
      </c>
      <c r="C19" s="14"/>
      <c r="D19" s="4">
        <v>163</v>
      </c>
      <c r="E19" s="4">
        <v>94</v>
      </c>
      <c r="F19" s="4">
        <v>69</v>
      </c>
      <c r="G19" s="4">
        <v>15</v>
      </c>
      <c r="H19" s="14"/>
      <c r="I19" s="14"/>
      <c r="J19" s="14"/>
    </row>
    <row r="20" spans="2:10" ht="15" thickBot="1" x14ac:dyDescent="0.35">
      <c r="B20" s="9" t="s">
        <v>43</v>
      </c>
      <c r="C20" s="19">
        <v>43709</v>
      </c>
      <c r="D20" s="20">
        <v>70</v>
      </c>
      <c r="E20" s="20">
        <v>61</v>
      </c>
      <c r="F20" s="20">
        <v>9</v>
      </c>
      <c r="G20" s="14"/>
      <c r="H20" s="4"/>
      <c r="I20" s="4"/>
      <c r="J20" s="4"/>
    </row>
    <row r="21" spans="2:10" ht="15.75" thickBot="1" x14ac:dyDescent="0.3">
      <c r="B21" s="10" t="s">
        <v>13</v>
      </c>
      <c r="C21" s="14"/>
      <c r="D21" s="4">
        <v>30</v>
      </c>
      <c r="E21" s="4">
        <v>28</v>
      </c>
      <c r="F21" s="4">
        <v>9</v>
      </c>
      <c r="G21" s="4"/>
      <c r="H21" s="14"/>
      <c r="I21" s="14"/>
      <c r="J21" s="14"/>
    </row>
    <row r="22" spans="2:10" ht="15.75" thickBot="1" x14ac:dyDescent="0.3">
      <c r="B22" s="10" t="s">
        <v>14</v>
      </c>
      <c r="C22" s="14"/>
      <c r="D22" s="4">
        <v>37</v>
      </c>
      <c r="E22" s="4">
        <v>34</v>
      </c>
      <c r="F22" s="4">
        <v>2</v>
      </c>
      <c r="G22" s="4"/>
      <c r="H22" s="14"/>
      <c r="I22" s="14"/>
      <c r="J22" s="14"/>
    </row>
    <row r="23" spans="2:10" ht="15.75" thickBot="1" x14ac:dyDescent="0.3">
      <c r="B23" s="10" t="s">
        <v>15</v>
      </c>
      <c r="C23" s="14"/>
      <c r="D23" s="4">
        <v>56</v>
      </c>
      <c r="E23" s="4">
        <v>53</v>
      </c>
      <c r="F23" s="4">
        <v>3</v>
      </c>
      <c r="G23" s="4"/>
      <c r="H23" s="14"/>
      <c r="I23" s="14"/>
      <c r="J23" s="14"/>
    </row>
    <row r="24" spans="2:10" ht="15.75" thickBot="1" x14ac:dyDescent="0.3">
      <c r="B24" s="10" t="s">
        <v>16</v>
      </c>
      <c r="C24" s="14"/>
      <c r="D24" s="4">
        <v>31</v>
      </c>
      <c r="E24" s="4">
        <v>24</v>
      </c>
      <c r="F24" s="4">
        <v>3</v>
      </c>
      <c r="G24" s="4"/>
      <c r="H24" s="14"/>
      <c r="I24" s="14"/>
      <c r="J24" s="14"/>
    </row>
    <row r="25" spans="2:10" ht="15.75" thickBot="1" x14ac:dyDescent="0.3">
      <c r="B25" s="11" t="s">
        <v>29</v>
      </c>
      <c r="C25" s="19">
        <v>43525</v>
      </c>
      <c r="D25" s="28" t="s">
        <v>47</v>
      </c>
      <c r="E25" s="28">
        <v>109</v>
      </c>
      <c r="F25" s="28">
        <v>7</v>
      </c>
      <c r="G25" s="28"/>
      <c r="H25" s="20">
        <v>1</v>
      </c>
      <c r="I25" s="20">
        <v>8</v>
      </c>
      <c r="J25" s="20">
        <v>39</v>
      </c>
    </row>
    <row r="26" spans="2:10" ht="15.75" thickBot="1" x14ac:dyDescent="0.3">
      <c r="B26" s="12" t="s">
        <v>17</v>
      </c>
      <c r="C26" s="14"/>
      <c r="D26" s="4">
        <v>159</v>
      </c>
      <c r="E26" s="4">
        <v>133</v>
      </c>
      <c r="F26" s="4">
        <v>26</v>
      </c>
      <c r="G26" s="4">
        <v>4</v>
      </c>
      <c r="H26" s="14"/>
      <c r="I26" s="14"/>
      <c r="J26" s="14"/>
    </row>
    <row r="27" spans="2:10" ht="15.75" thickBot="1" x14ac:dyDescent="0.3">
      <c r="B27" s="12" t="s">
        <v>18</v>
      </c>
      <c r="C27" s="14"/>
      <c r="D27" s="4">
        <v>159</v>
      </c>
      <c r="E27" s="4">
        <v>109</v>
      </c>
      <c r="F27" s="4">
        <v>50</v>
      </c>
      <c r="G27" s="4">
        <v>1</v>
      </c>
      <c r="H27" s="14"/>
      <c r="I27" s="14"/>
      <c r="J27" s="14"/>
    </row>
    <row r="28" spans="2:10" ht="15.75" thickBot="1" x14ac:dyDescent="0.3">
      <c r="B28" s="12" t="s">
        <v>19</v>
      </c>
      <c r="C28" s="14"/>
      <c r="D28" s="4">
        <v>158</v>
      </c>
      <c r="E28" s="4">
        <v>110</v>
      </c>
      <c r="F28" s="4">
        <v>48</v>
      </c>
      <c r="G28" s="4">
        <v>1</v>
      </c>
      <c r="H28" s="14"/>
      <c r="I28" s="14"/>
      <c r="J28" s="14"/>
    </row>
    <row r="29" spans="2:10" ht="15.75" thickBot="1" x14ac:dyDescent="0.3">
      <c r="B29" s="12" t="s">
        <v>20</v>
      </c>
      <c r="C29" s="14"/>
      <c r="D29" s="4">
        <v>158</v>
      </c>
      <c r="E29" s="4">
        <v>110</v>
      </c>
      <c r="F29" s="4">
        <v>48</v>
      </c>
      <c r="G29" s="4">
        <v>6</v>
      </c>
      <c r="H29" s="14"/>
      <c r="I29" s="14"/>
      <c r="J29" s="14"/>
    </row>
    <row r="30" spans="2:10" ht="15.75" thickBot="1" x14ac:dyDescent="0.3">
      <c r="B30" s="12" t="s">
        <v>21</v>
      </c>
      <c r="C30" s="14"/>
      <c r="D30" s="4">
        <v>158</v>
      </c>
      <c r="E30" s="4">
        <v>110</v>
      </c>
      <c r="F30" s="4">
        <v>48</v>
      </c>
      <c r="G30" s="4">
        <v>4</v>
      </c>
      <c r="H30" s="14"/>
      <c r="I30" s="14"/>
      <c r="J30" s="14"/>
    </row>
    <row r="31" spans="2:10" ht="15.75" thickBot="1" x14ac:dyDescent="0.3">
      <c r="B31" s="11" t="s">
        <v>30</v>
      </c>
      <c r="C31" s="19">
        <v>43770</v>
      </c>
      <c r="D31" s="20">
        <v>60</v>
      </c>
      <c r="E31" s="20">
        <v>4</v>
      </c>
      <c r="F31" s="20">
        <v>7</v>
      </c>
      <c r="G31" s="14"/>
      <c r="H31" s="4"/>
      <c r="I31" s="4"/>
      <c r="J31" s="4"/>
    </row>
    <row r="32" spans="2:10" ht="15.75" thickBot="1" x14ac:dyDescent="0.3">
      <c r="B32" s="12" t="s">
        <v>17</v>
      </c>
      <c r="C32" s="14"/>
      <c r="D32" s="4">
        <v>36</v>
      </c>
      <c r="E32" s="4">
        <v>28</v>
      </c>
      <c r="F32" s="4">
        <v>8</v>
      </c>
      <c r="G32" s="4"/>
      <c r="H32" s="14"/>
      <c r="I32" s="14"/>
      <c r="J32" s="14"/>
    </row>
    <row r="33" spans="2:10" ht="15.75" thickBot="1" x14ac:dyDescent="0.3">
      <c r="B33" s="12" t="s">
        <v>18</v>
      </c>
      <c r="C33" s="14"/>
      <c r="D33" s="4">
        <v>34</v>
      </c>
      <c r="E33" s="4">
        <v>18</v>
      </c>
      <c r="F33" s="4">
        <v>16</v>
      </c>
      <c r="G33" s="4"/>
      <c r="H33" s="14"/>
      <c r="I33" s="14"/>
      <c r="J33" s="14"/>
    </row>
    <row r="34" spans="2:10" ht="15.75" thickBot="1" x14ac:dyDescent="0.3">
      <c r="B34" s="12" t="s">
        <v>19</v>
      </c>
      <c r="C34" s="14"/>
      <c r="D34" s="4">
        <v>41</v>
      </c>
      <c r="E34" s="4">
        <v>35</v>
      </c>
      <c r="F34" s="4">
        <v>6</v>
      </c>
      <c r="G34" s="4"/>
      <c r="H34" s="14"/>
      <c r="I34" s="14"/>
      <c r="J34" s="14"/>
    </row>
    <row r="35" spans="2:10" ht="15.75" thickBot="1" x14ac:dyDescent="0.3">
      <c r="B35" s="12" t="s">
        <v>20</v>
      </c>
      <c r="C35" s="14"/>
      <c r="D35" s="4">
        <v>25</v>
      </c>
      <c r="E35" s="4">
        <v>9</v>
      </c>
      <c r="F35" s="4">
        <v>16</v>
      </c>
      <c r="G35" s="4"/>
      <c r="H35" s="14"/>
      <c r="I35" s="14"/>
      <c r="J35" s="14"/>
    </row>
    <row r="36" spans="2:10" ht="15.75" thickBot="1" x14ac:dyDescent="0.3">
      <c r="B36" s="12" t="s">
        <v>21</v>
      </c>
      <c r="C36" s="14"/>
      <c r="D36" s="4">
        <v>36</v>
      </c>
      <c r="E36" s="4">
        <v>29</v>
      </c>
      <c r="F36" s="4">
        <v>7</v>
      </c>
      <c r="G36" s="4"/>
      <c r="H36" s="14"/>
      <c r="I36" s="14"/>
      <c r="J36" s="14"/>
    </row>
    <row r="39" spans="2:10" ht="21.75" customHeight="1" x14ac:dyDescent="0.25"/>
    <row r="40" spans="2:10" ht="20.25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Last update</vt:lpstr>
      <vt:lpstr>2nd MBBS Summary</vt:lpstr>
      <vt:lpstr>3rd MBBS (Part I) Summary</vt:lpstr>
      <vt:lpstr> 3rd MBBS (Part II) Summary</vt:lpstr>
      <vt:lpstr> Final MBBS Summary</vt:lpstr>
      <vt:lpstr>2022</vt:lpstr>
      <vt:lpstr>2021</vt:lpstr>
      <vt:lpstr>2020</vt:lpstr>
      <vt:lpstr>2019</vt:lpstr>
      <vt:lpstr>2018</vt:lpstr>
      <vt:lpstr>2017</vt:lpstr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2023-05-23T05:00:45Z</dcterms:modified>
</cp:coreProperties>
</file>